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ger\OneDrive\3.ADMINISTRATIVO\PPGEP\Comissao-credenciamento\"/>
    </mc:Choice>
  </mc:AlternateContent>
  <bookViews>
    <workbookView xWindow="0" yWindow="0" windowWidth="15360" windowHeight="7308" tabRatio="832" activeTab="4"/>
  </bookViews>
  <sheets>
    <sheet name="Legenda" sheetId="30" r:id="rId1"/>
    <sheet name="2018" sheetId="21" r:id="rId2"/>
    <sheet name="2019" sheetId="33" r:id="rId3"/>
    <sheet name="2020" sheetId="32" r:id="rId4"/>
    <sheet name="Consolidado" sheetId="34" r:id="rId5"/>
  </sheets>
  <definedNames>
    <definedName name="solver_adj" localSheetId="1" hidden="1">'2018'!#REF!</definedName>
    <definedName name="solver_adj" localSheetId="2" hidden="1">'2019'!#REF!</definedName>
    <definedName name="solver_adj" localSheetId="3" hidden="1">'2020'!#REF!</definedName>
    <definedName name="solver_adj" localSheetId="4" hidden="1">Consolidado!#REF!</definedName>
    <definedName name="solver_cvg" localSheetId="1" hidden="1">0.0001</definedName>
    <definedName name="solver_cvg" localSheetId="2" hidden="1">0.0001</definedName>
    <definedName name="solver_cvg" localSheetId="3" hidden="1">0.0001</definedName>
    <definedName name="solver_cvg" localSheetId="4" hidden="1">0.0001</definedName>
    <definedName name="solver_drv" localSheetId="1" hidden="1">1</definedName>
    <definedName name="solver_drv" localSheetId="2" hidden="1">1</definedName>
    <definedName name="solver_drv" localSheetId="3" hidden="1">1</definedName>
    <definedName name="solver_drv" localSheetId="4" hidden="1">1</definedName>
    <definedName name="solver_eng" localSheetId="1" hidden="1">1</definedName>
    <definedName name="solver_eng" localSheetId="2" hidden="1">1</definedName>
    <definedName name="solver_eng" localSheetId="3" hidden="1">1</definedName>
    <definedName name="solver_eng" localSheetId="4" hidden="1">1</definedName>
    <definedName name="solver_est" localSheetId="1" hidden="1">1</definedName>
    <definedName name="solver_est" localSheetId="2" hidden="1">1</definedName>
    <definedName name="solver_est" localSheetId="3" hidden="1">1</definedName>
    <definedName name="solver_est" localSheetId="4" hidden="1">1</definedName>
    <definedName name="solver_itr" localSheetId="1" hidden="1">2147483647</definedName>
    <definedName name="solver_itr" localSheetId="2" hidden="1">2147483647</definedName>
    <definedName name="solver_itr" localSheetId="3" hidden="1">2147483647</definedName>
    <definedName name="solver_itr" localSheetId="4" hidden="1">2147483647</definedName>
    <definedName name="solver_lhs1" localSheetId="1" hidden="1">'2018'!#REF!</definedName>
    <definedName name="solver_lhs1" localSheetId="2" hidden="1">'2019'!#REF!</definedName>
    <definedName name="solver_lhs1" localSheetId="3" hidden="1">'2020'!#REF!</definedName>
    <definedName name="solver_lhs1" localSheetId="4" hidden="1">Consolidado!#REF!</definedName>
    <definedName name="solver_lhs2" localSheetId="1" hidden="1">'2018'!$B$10</definedName>
    <definedName name="solver_lhs2" localSheetId="2" hidden="1">'2019'!$B$10</definedName>
    <definedName name="solver_lhs2" localSheetId="3" hidden="1">'2020'!$B$10</definedName>
    <definedName name="solver_lhs2" localSheetId="4" hidden="1">Consolidado!$B$10</definedName>
    <definedName name="solver_mip" localSheetId="1" hidden="1">2147483647</definedName>
    <definedName name="solver_mip" localSheetId="2" hidden="1">2147483647</definedName>
    <definedName name="solver_mip" localSheetId="3" hidden="1">2147483647</definedName>
    <definedName name="solver_mip" localSheetId="4" hidden="1">2147483647</definedName>
    <definedName name="solver_mni" localSheetId="1" hidden="1">30</definedName>
    <definedName name="solver_mni" localSheetId="2" hidden="1">30</definedName>
    <definedName name="solver_mni" localSheetId="3" hidden="1">30</definedName>
    <definedName name="solver_mni" localSheetId="4" hidden="1">30</definedName>
    <definedName name="solver_mrt" localSheetId="1" hidden="1">0.075</definedName>
    <definedName name="solver_mrt" localSheetId="2" hidden="1">0.075</definedName>
    <definedName name="solver_mrt" localSheetId="3" hidden="1">0.075</definedName>
    <definedName name="solver_mrt" localSheetId="4" hidden="1">0.075</definedName>
    <definedName name="solver_msl" localSheetId="1" hidden="1">2</definedName>
    <definedName name="solver_msl" localSheetId="2" hidden="1">2</definedName>
    <definedName name="solver_msl" localSheetId="3" hidden="1">2</definedName>
    <definedName name="solver_msl" localSheetId="4" hidden="1">2</definedName>
    <definedName name="solver_neg" localSheetId="1" hidden="1">1</definedName>
    <definedName name="solver_neg" localSheetId="2" hidden="1">1</definedName>
    <definedName name="solver_neg" localSheetId="3" hidden="1">1</definedName>
    <definedName name="solver_neg" localSheetId="4" hidden="1">1</definedName>
    <definedName name="solver_nod" localSheetId="1" hidden="1">2147483647</definedName>
    <definedName name="solver_nod" localSheetId="2" hidden="1">2147483647</definedName>
    <definedName name="solver_nod" localSheetId="3" hidden="1">2147483647</definedName>
    <definedName name="solver_nod" localSheetId="4" hidden="1">2147483647</definedName>
    <definedName name="solver_num" localSheetId="1" hidden="1">1</definedName>
    <definedName name="solver_num" localSheetId="2" hidden="1">1</definedName>
    <definedName name="solver_num" localSheetId="3" hidden="1">1</definedName>
    <definedName name="solver_num" localSheetId="4" hidden="1">1</definedName>
    <definedName name="solver_nwt" localSheetId="1" hidden="1">1</definedName>
    <definedName name="solver_nwt" localSheetId="2" hidden="1">1</definedName>
    <definedName name="solver_nwt" localSheetId="3" hidden="1">1</definedName>
    <definedName name="solver_nwt" localSheetId="4" hidden="1">1</definedName>
    <definedName name="solver_opt" localSheetId="1" hidden="1">'2018'!$B$20</definedName>
    <definedName name="solver_opt" localSheetId="2" hidden="1">'2019'!$B$20</definedName>
    <definedName name="solver_opt" localSheetId="3" hidden="1">'2020'!$B$20</definedName>
    <definedName name="solver_opt" localSheetId="4" hidden="1">Consolidado!$B$20</definedName>
    <definedName name="solver_pre" localSheetId="1" hidden="1">0.000001</definedName>
    <definedName name="solver_pre" localSheetId="2" hidden="1">0.000001</definedName>
    <definedName name="solver_pre" localSheetId="3" hidden="1">0.000001</definedName>
    <definedName name="solver_pre" localSheetId="4" hidden="1">0.000001</definedName>
    <definedName name="solver_rbv" localSheetId="1" hidden="1">1</definedName>
    <definedName name="solver_rbv" localSheetId="2" hidden="1">1</definedName>
    <definedName name="solver_rbv" localSheetId="3" hidden="1">1</definedName>
    <definedName name="solver_rbv" localSheetId="4" hidden="1">1</definedName>
    <definedName name="solver_rel1" localSheetId="1" hidden="1">5</definedName>
    <definedName name="solver_rel1" localSheetId="2" hidden="1">5</definedName>
    <definedName name="solver_rel1" localSheetId="3" hidden="1">5</definedName>
    <definedName name="solver_rel1" localSheetId="4" hidden="1">5</definedName>
    <definedName name="solver_rel2" localSheetId="1" hidden="1">3</definedName>
    <definedName name="solver_rel2" localSheetId="2" hidden="1">3</definedName>
    <definedName name="solver_rel2" localSheetId="3" hidden="1">3</definedName>
    <definedName name="solver_rel2" localSheetId="4" hidden="1">3</definedName>
    <definedName name="solver_rhs1" localSheetId="1" hidden="1">binário</definedName>
    <definedName name="solver_rhs1" localSheetId="2" hidden="1">binário</definedName>
    <definedName name="solver_rhs1" localSheetId="3" hidden="1">binário</definedName>
    <definedName name="solver_rhs1" localSheetId="4" hidden="1">binário</definedName>
    <definedName name="solver_rhs2" localSheetId="1" hidden="1">0.7</definedName>
    <definedName name="solver_rhs2" localSheetId="2" hidden="1">0.7</definedName>
    <definedName name="solver_rhs2" localSheetId="3" hidden="1">0.7</definedName>
    <definedName name="solver_rhs2" localSheetId="4" hidden="1">0.7</definedName>
    <definedName name="solver_rlx" localSheetId="1" hidden="1">2</definedName>
    <definedName name="solver_rlx" localSheetId="2" hidden="1">2</definedName>
    <definedName name="solver_rlx" localSheetId="3" hidden="1">2</definedName>
    <definedName name="solver_rlx" localSheetId="4" hidden="1">2</definedName>
    <definedName name="solver_rsd" localSheetId="1" hidden="1">0</definedName>
    <definedName name="solver_rsd" localSheetId="2" hidden="1">0</definedName>
    <definedName name="solver_rsd" localSheetId="3" hidden="1">0</definedName>
    <definedName name="solver_rsd" localSheetId="4" hidden="1">0</definedName>
    <definedName name="solver_scl" localSheetId="1" hidden="1">1</definedName>
    <definedName name="solver_scl" localSheetId="2" hidden="1">1</definedName>
    <definedName name="solver_scl" localSheetId="3" hidden="1">1</definedName>
    <definedName name="solver_scl" localSheetId="4" hidden="1">1</definedName>
    <definedName name="solver_sho" localSheetId="1" hidden="1">2</definedName>
    <definedName name="solver_sho" localSheetId="2" hidden="1">2</definedName>
    <definedName name="solver_sho" localSheetId="3" hidden="1">2</definedName>
    <definedName name="solver_sho" localSheetId="4" hidden="1">2</definedName>
    <definedName name="solver_ssz" localSheetId="1" hidden="1">100</definedName>
    <definedName name="solver_ssz" localSheetId="2" hidden="1">100</definedName>
    <definedName name="solver_ssz" localSheetId="3" hidden="1">100</definedName>
    <definedName name="solver_ssz" localSheetId="4" hidden="1">100</definedName>
    <definedName name="solver_tim" localSheetId="1" hidden="1">2147483647</definedName>
    <definedName name="solver_tim" localSheetId="2" hidden="1">2147483647</definedName>
    <definedName name="solver_tim" localSheetId="3" hidden="1">2147483647</definedName>
    <definedName name="solver_tim" localSheetId="4" hidden="1">2147483647</definedName>
    <definedName name="solver_tol" localSheetId="1" hidden="1">0.01</definedName>
    <definedName name="solver_tol" localSheetId="2" hidden="1">0.01</definedName>
    <definedName name="solver_tol" localSheetId="3" hidden="1">0.01</definedName>
    <definedName name="solver_tol" localSheetId="4" hidden="1">0.01</definedName>
    <definedName name="solver_typ" localSheetId="1" hidden="1">1</definedName>
    <definedName name="solver_typ" localSheetId="2" hidden="1">1</definedName>
    <definedName name="solver_typ" localSheetId="3" hidden="1">1</definedName>
    <definedName name="solver_typ" localSheetId="4" hidden="1">1</definedName>
    <definedName name="solver_val" localSheetId="1" hidden="1">0</definedName>
    <definedName name="solver_val" localSheetId="2" hidden="1">0</definedName>
    <definedName name="solver_val" localSheetId="3" hidden="1">0</definedName>
    <definedName name="solver_val" localSheetId="4" hidden="1">0</definedName>
    <definedName name="solver_ver" localSheetId="1" hidden="1">3</definedName>
    <definedName name="solver_ver" localSheetId="2" hidden="1">3</definedName>
    <definedName name="solver_ver" localSheetId="3" hidden="1">3</definedName>
    <definedName name="solver_ver" localSheetId="4" hidden="1">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" i="34" l="1"/>
  <c r="Z3" i="34"/>
  <c r="P6" i="21" l="1"/>
  <c r="M3" i="32"/>
  <c r="M3" i="33"/>
  <c r="M3" i="21"/>
  <c r="AH3" i="34" l="1"/>
  <c r="AH6" i="34" s="1"/>
  <c r="G71" i="34" s="1"/>
  <c r="H71" i="34" s="1"/>
  <c r="AT3" i="34"/>
  <c r="AU3" i="34"/>
  <c r="AV3" i="34"/>
  <c r="AW3" i="34"/>
  <c r="AX3" i="34"/>
  <c r="AY3" i="34"/>
  <c r="AZ3" i="34"/>
  <c r="BA3" i="34"/>
  <c r="BB3" i="34"/>
  <c r="BC3" i="34"/>
  <c r="BD3" i="34"/>
  <c r="BE3" i="34"/>
  <c r="AS3" i="34"/>
  <c r="AK3" i="34"/>
  <c r="AL3" i="34"/>
  <c r="AM3" i="34"/>
  <c r="AN3" i="34"/>
  <c r="AO3" i="34"/>
  <c r="AP3" i="34"/>
  <c r="AJ3" i="34"/>
  <c r="R3" i="34"/>
  <c r="S3" i="34"/>
  <c r="U3" i="34"/>
  <c r="V3" i="34"/>
  <c r="W3" i="34"/>
  <c r="X3" i="34"/>
  <c r="Y3" i="34"/>
  <c r="AA3" i="34"/>
  <c r="AB3" i="34"/>
  <c r="AC3" i="34"/>
  <c r="AD3" i="34"/>
  <c r="AE3" i="34"/>
  <c r="AF3" i="34"/>
  <c r="AG3" i="34"/>
  <c r="Q3" i="34"/>
  <c r="O3" i="34"/>
  <c r="N3" i="34"/>
  <c r="N6" i="34" s="1"/>
  <c r="BK13" i="34" s="1"/>
  <c r="L3" i="34"/>
  <c r="I3" i="34"/>
  <c r="J3" i="34"/>
  <c r="H3" i="34"/>
  <c r="E3" i="34"/>
  <c r="M3" i="34" s="1"/>
  <c r="M6" i="34" s="1"/>
  <c r="A3" i="34"/>
  <c r="B3" i="34"/>
  <c r="D3" i="34"/>
  <c r="C3" i="34"/>
  <c r="D51" i="34"/>
  <c r="BM30" i="34"/>
  <c r="BN30" i="34" s="1"/>
  <c r="BJ30" i="34"/>
  <c r="BM29" i="34"/>
  <c r="BN29" i="34" s="1"/>
  <c r="BJ29" i="34"/>
  <c r="BN28" i="34"/>
  <c r="BM28" i="34"/>
  <c r="BJ28" i="34"/>
  <c r="BJ25" i="34"/>
  <c r="BJ24" i="34"/>
  <c r="BJ23" i="34"/>
  <c r="BJ22" i="34"/>
  <c r="BJ19" i="34"/>
  <c r="BJ18" i="34"/>
  <c r="BJ17" i="34"/>
  <c r="BJ16" i="34"/>
  <c r="BJ13" i="34"/>
  <c r="BJ12" i="34"/>
  <c r="BJ10" i="34"/>
  <c r="B10" i="34"/>
  <c r="BJ8" i="34"/>
  <c r="B8" i="34"/>
  <c r="B6" i="34"/>
  <c r="BM5" i="34"/>
  <c r="BN5" i="34" s="1"/>
  <c r="BN4" i="34"/>
  <c r="BM4" i="34"/>
  <c r="BM3" i="34"/>
  <c r="BN3" i="34" s="1"/>
  <c r="BN2" i="34" s="1"/>
  <c r="BO2" i="34" s="1"/>
  <c r="K3" i="34"/>
  <c r="D51" i="33"/>
  <c r="BM30" i="33"/>
  <c r="BN30" i="33" s="1"/>
  <c r="BJ30" i="33"/>
  <c r="BM29" i="33"/>
  <c r="BN29" i="33" s="1"/>
  <c r="BJ29" i="33"/>
  <c r="BM28" i="33"/>
  <c r="BN28" i="33" s="1"/>
  <c r="BJ28" i="33"/>
  <c r="BJ25" i="33"/>
  <c r="BJ24" i="33"/>
  <c r="BJ23" i="33"/>
  <c r="BJ22" i="33"/>
  <c r="BJ19" i="33"/>
  <c r="BJ18" i="33"/>
  <c r="BJ17" i="33"/>
  <c r="BJ16" i="33"/>
  <c r="O16" i="33"/>
  <c r="BJ13" i="33"/>
  <c r="BJ12" i="33"/>
  <c r="BJ10" i="33"/>
  <c r="B10" i="33"/>
  <c r="BJ8" i="33"/>
  <c r="B8" i="33"/>
  <c r="AH6" i="33"/>
  <c r="N6" i="33"/>
  <c r="BK13" i="33" s="1"/>
  <c r="C6" i="33"/>
  <c r="B6" i="33"/>
  <c r="BM5" i="33"/>
  <c r="BN5" i="33" s="1"/>
  <c r="BN4" i="33"/>
  <c r="BM4" i="33"/>
  <c r="BM3" i="33"/>
  <c r="BN3" i="33" s="1"/>
  <c r="BN2" i="33" s="1"/>
  <c r="BO2" i="33" s="1"/>
  <c r="AR3" i="33"/>
  <c r="AQ3" i="33"/>
  <c r="AI3" i="33"/>
  <c r="P3" i="33"/>
  <c r="P6" i="33" s="1"/>
  <c r="P12" i="33" s="1"/>
  <c r="K3" i="33"/>
  <c r="G3" i="33"/>
  <c r="D51" i="32"/>
  <c r="BM30" i="32"/>
  <c r="BN30" i="32" s="1"/>
  <c r="BJ30" i="32"/>
  <c r="BM29" i="32"/>
  <c r="BN29" i="32" s="1"/>
  <c r="BJ29" i="32"/>
  <c r="BM28" i="32"/>
  <c r="BN28" i="32" s="1"/>
  <c r="BJ28" i="32"/>
  <c r="BJ25" i="32"/>
  <c r="BJ24" i="32"/>
  <c r="BJ23" i="32"/>
  <c r="BJ22" i="32"/>
  <c r="BJ19" i="32"/>
  <c r="BJ18" i="32"/>
  <c r="BJ17" i="32"/>
  <c r="BJ16" i="32"/>
  <c r="O16" i="32"/>
  <c r="P6" i="32" s="1"/>
  <c r="BJ13" i="32"/>
  <c r="BJ12" i="32"/>
  <c r="BJ10" i="32"/>
  <c r="B10" i="32"/>
  <c r="BJ8" i="32"/>
  <c r="B8" i="32"/>
  <c r="AH6" i="32"/>
  <c r="G71" i="32" s="1"/>
  <c r="H71" i="32" s="1"/>
  <c r="N6" i="32"/>
  <c r="BK13" i="32" s="1"/>
  <c r="C6" i="32"/>
  <c r="G19" i="32" s="1"/>
  <c r="H19" i="32" s="1"/>
  <c r="B6" i="32"/>
  <c r="BM5" i="32"/>
  <c r="BN5" i="32" s="1"/>
  <c r="BN4" i="32"/>
  <c r="BM4" i="32"/>
  <c r="BM3" i="32"/>
  <c r="BN3" i="32" s="1"/>
  <c r="AR3" i="32"/>
  <c r="AQ3" i="32"/>
  <c r="M6" i="32" s="1"/>
  <c r="AI3" i="32"/>
  <c r="AI6" i="32" s="1"/>
  <c r="AI8" i="32" s="1"/>
  <c r="P3" i="32"/>
  <c r="K3" i="32"/>
  <c r="G3" i="32"/>
  <c r="O11" i="21"/>
  <c r="N6" i="21"/>
  <c r="N7" i="21" s="1"/>
  <c r="BJ29" i="21"/>
  <c r="BJ30" i="21"/>
  <c r="BJ28" i="21"/>
  <c r="BJ23" i="21"/>
  <c r="BJ24" i="21"/>
  <c r="BJ25" i="21"/>
  <c r="BJ22" i="21"/>
  <c r="BJ17" i="21"/>
  <c r="BJ18" i="21"/>
  <c r="BJ19" i="21"/>
  <c r="BJ16" i="21"/>
  <c r="BJ13" i="21"/>
  <c r="BJ12" i="21"/>
  <c r="BJ10" i="21"/>
  <c r="BJ8" i="21"/>
  <c r="BM30" i="21"/>
  <c r="BN30" i="21" s="1"/>
  <c r="BM29" i="21"/>
  <c r="BN29" i="21" s="1"/>
  <c r="BM28" i="21"/>
  <c r="BN28" i="21" s="1"/>
  <c r="BM5" i="21"/>
  <c r="BN5" i="21" s="1"/>
  <c r="BN4" i="21"/>
  <c r="BM4" i="21"/>
  <c r="BM3" i="21"/>
  <c r="BN3" i="21" s="1"/>
  <c r="D6" i="21"/>
  <c r="BK9" i="21" s="1"/>
  <c r="D51" i="21"/>
  <c r="O6" i="21"/>
  <c r="G48" i="21" s="1"/>
  <c r="H48" i="21" s="1"/>
  <c r="E6" i="21"/>
  <c r="BK10" i="21" s="1"/>
  <c r="BN27" i="21" l="1"/>
  <c r="BO27" i="21" s="1"/>
  <c r="BN2" i="32"/>
  <c r="BO2" i="32" s="1"/>
  <c r="AR3" i="34"/>
  <c r="F3" i="32"/>
  <c r="O16" i="34"/>
  <c r="P12" i="32"/>
  <c r="G62" i="32" s="1"/>
  <c r="H62" i="32" s="1"/>
  <c r="G3" i="34"/>
  <c r="C7" i="32"/>
  <c r="BL8" i="32" s="1"/>
  <c r="G20" i="32"/>
  <c r="H20" i="32" s="1"/>
  <c r="AI3" i="34"/>
  <c r="AI6" i="34" s="1"/>
  <c r="AQ3" i="34"/>
  <c r="AQ6" i="34" s="1"/>
  <c r="P3" i="34"/>
  <c r="P6" i="34" s="1"/>
  <c r="P12" i="34" s="1"/>
  <c r="G62" i="34" s="1"/>
  <c r="H62" i="34" s="1"/>
  <c r="F3" i="33"/>
  <c r="M6" i="33"/>
  <c r="G43" i="33" s="1"/>
  <c r="H43" i="33" s="1"/>
  <c r="F3" i="34"/>
  <c r="C6" i="34"/>
  <c r="G19" i="34" s="1"/>
  <c r="H19" i="34" s="1"/>
  <c r="G45" i="34"/>
  <c r="H45" i="34" s="1"/>
  <c r="G43" i="34"/>
  <c r="H43" i="34" s="1"/>
  <c r="BK12" i="34"/>
  <c r="G46" i="34"/>
  <c r="H46" i="34" s="1"/>
  <c r="G42" i="34"/>
  <c r="H42" i="34" s="1"/>
  <c r="G44" i="34"/>
  <c r="H44" i="34" s="1"/>
  <c r="M7" i="34"/>
  <c r="AR6" i="34"/>
  <c r="BN27" i="34"/>
  <c r="BO27" i="34" s="1"/>
  <c r="G21" i="34"/>
  <c r="H21" i="34" s="1"/>
  <c r="G18" i="34"/>
  <c r="H18" i="34" s="1"/>
  <c r="AH7" i="34"/>
  <c r="G70" i="34"/>
  <c r="H70" i="34" s="1"/>
  <c r="G68" i="34"/>
  <c r="H68" i="34" s="1"/>
  <c r="N8" i="34"/>
  <c r="BM13" i="34" s="1"/>
  <c r="BN13" i="34" s="1"/>
  <c r="B12" i="34"/>
  <c r="B13" i="34" s="1"/>
  <c r="O11" i="34"/>
  <c r="F6" i="34"/>
  <c r="E6" i="34"/>
  <c r="G67" i="34"/>
  <c r="H67" i="34" s="1"/>
  <c r="D6" i="34"/>
  <c r="N7" i="34"/>
  <c r="BL13" i="34" s="1"/>
  <c r="BK19" i="34"/>
  <c r="G69" i="34"/>
  <c r="H69" i="34" s="1"/>
  <c r="O6" i="34"/>
  <c r="M7" i="33"/>
  <c r="G17" i="33"/>
  <c r="H17" i="33" s="1"/>
  <c r="G21" i="33"/>
  <c r="H21" i="33" s="1"/>
  <c r="G18" i="33"/>
  <c r="H18" i="33" s="1"/>
  <c r="G20" i="33"/>
  <c r="H20" i="33" s="1"/>
  <c r="G19" i="33"/>
  <c r="H19" i="33" s="1"/>
  <c r="AH7" i="33"/>
  <c r="G70" i="33"/>
  <c r="H70" i="33" s="1"/>
  <c r="G68" i="33"/>
  <c r="H68" i="33" s="1"/>
  <c r="G69" i="33"/>
  <c r="H69" i="33" s="1"/>
  <c r="G71" i="33"/>
  <c r="H71" i="33" s="1"/>
  <c r="G67" i="33"/>
  <c r="H67" i="33" s="1"/>
  <c r="C7" i="33"/>
  <c r="BK8" i="33"/>
  <c r="BN27" i="33"/>
  <c r="BO27" i="33" s="1"/>
  <c r="AR6" i="33"/>
  <c r="AR8" i="33" s="1"/>
  <c r="AR14" i="33" s="1"/>
  <c r="G66" i="33"/>
  <c r="H66" i="33" s="1"/>
  <c r="G64" i="33"/>
  <c r="H64" i="33" s="1"/>
  <c r="G62" i="33"/>
  <c r="H62" i="33" s="1"/>
  <c r="G65" i="33"/>
  <c r="H65" i="33" s="1"/>
  <c r="BK18" i="33"/>
  <c r="P13" i="33"/>
  <c r="G63" i="33"/>
  <c r="H63" i="33" s="1"/>
  <c r="B12" i="33"/>
  <c r="B13" i="33" s="1"/>
  <c r="O11" i="33"/>
  <c r="F6" i="33"/>
  <c r="AQ6" i="33"/>
  <c r="E6" i="33"/>
  <c r="D6" i="33"/>
  <c r="BK19" i="33"/>
  <c r="AI6" i="33"/>
  <c r="AI8" i="33" s="1"/>
  <c r="N7" i="33"/>
  <c r="BL13" i="33" s="1"/>
  <c r="N8" i="33"/>
  <c r="BM13" i="33" s="1"/>
  <c r="BN13" i="33" s="1"/>
  <c r="O6" i="33"/>
  <c r="G76" i="32"/>
  <c r="H76" i="32" s="1"/>
  <c r="G74" i="32"/>
  <c r="H74" i="32" s="1"/>
  <c r="G72" i="32"/>
  <c r="H72" i="32" s="1"/>
  <c r="G75" i="32"/>
  <c r="H75" i="32" s="1"/>
  <c r="BK22" i="32"/>
  <c r="G73" i="32"/>
  <c r="H73" i="32" s="1"/>
  <c r="AI9" i="32"/>
  <c r="G45" i="32"/>
  <c r="H45" i="32" s="1"/>
  <c r="G43" i="32"/>
  <c r="H43" i="32" s="1"/>
  <c r="BK12" i="32"/>
  <c r="G46" i="32"/>
  <c r="H46" i="32" s="1"/>
  <c r="G42" i="32"/>
  <c r="H42" i="32" s="1"/>
  <c r="M7" i="32"/>
  <c r="G44" i="32"/>
  <c r="H44" i="32" s="1"/>
  <c r="AR6" i="32"/>
  <c r="AR8" i="32" s="1"/>
  <c r="AR14" i="32" s="1"/>
  <c r="BN27" i="32"/>
  <c r="BO27" i="32" s="1"/>
  <c r="G17" i="32"/>
  <c r="H17" i="32" s="1"/>
  <c r="G21" i="32"/>
  <c r="H21" i="32" s="1"/>
  <c r="G18" i="32"/>
  <c r="H18" i="32" s="1"/>
  <c r="AH7" i="32"/>
  <c r="G70" i="32"/>
  <c r="H70" i="32" s="1"/>
  <c r="G68" i="32"/>
  <c r="H68" i="32" s="1"/>
  <c r="N8" i="32"/>
  <c r="BM13" i="32" s="1"/>
  <c r="BN13" i="32" s="1"/>
  <c r="BK8" i="32"/>
  <c r="B12" i="32"/>
  <c r="B13" i="32" s="1"/>
  <c r="O11" i="32"/>
  <c r="F6" i="32"/>
  <c r="AQ6" i="32"/>
  <c r="E6" i="32"/>
  <c r="G67" i="32"/>
  <c r="H67" i="32" s="1"/>
  <c r="D6" i="32"/>
  <c r="N7" i="32"/>
  <c r="BL13" i="32" s="1"/>
  <c r="C8" i="32"/>
  <c r="BM8" i="32" s="1"/>
  <c r="BK19" i="32"/>
  <c r="G69" i="32"/>
  <c r="H69" i="32" s="1"/>
  <c r="O6" i="32"/>
  <c r="BK16" i="21"/>
  <c r="BL13" i="21"/>
  <c r="N8" i="21"/>
  <c r="BM13" i="21" s="1"/>
  <c r="BN13" i="21" s="1"/>
  <c r="BK13" i="21"/>
  <c r="BN2" i="21"/>
  <c r="BO2" i="21" s="1"/>
  <c r="G56" i="21"/>
  <c r="H56" i="21" s="1"/>
  <c r="G36" i="21"/>
  <c r="H36" i="21" s="1"/>
  <c r="G55" i="21"/>
  <c r="H55" i="21" s="1"/>
  <c r="G51" i="21"/>
  <c r="H51" i="21" s="1"/>
  <c r="G54" i="21"/>
  <c r="H54" i="21" s="1"/>
  <c r="G50" i="21"/>
  <c r="H50" i="21" s="1"/>
  <c r="G53" i="21"/>
  <c r="H53" i="21" s="1"/>
  <c r="G49" i="21"/>
  <c r="H49" i="21" s="1"/>
  <c r="G47" i="21"/>
  <c r="H47" i="21" s="1"/>
  <c r="G52" i="21"/>
  <c r="H52" i="21" s="1"/>
  <c r="K3" i="21"/>
  <c r="G3" i="21"/>
  <c r="G17" i="34" l="1"/>
  <c r="H17" i="34" s="1"/>
  <c r="BK8" i="34"/>
  <c r="BK12" i="33"/>
  <c r="G45" i="33"/>
  <c r="H45" i="33" s="1"/>
  <c r="G64" i="32"/>
  <c r="H64" i="32" s="1"/>
  <c r="G65" i="32"/>
  <c r="H65" i="32" s="1"/>
  <c r="P13" i="32"/>
  <c r="BL18" i="32" s="1"/>
  <c r="BK18" i="32"/>
  <c r="G66" i="32"/>
  <c r="H66" i="32" s="1"/>
  <c r="G63" i="32"/>
  <c r="H63" i="32" s="1"/>
  <c r="G44" i="33"/>
  <c r="H44" i="33" s="1"/>
  <c r="G46" i="33"/>
  <c r="H46" i="33" s="1"/>
  <c r="G42" i="33"/>
  <c r="H42" i="33" s="1"/>
  <c r="M8" i="33" s="1"/>
  <c r="BM12" i="33" s="1"/>
  <c r="BN12" i="33" s="1"/>
  <c r="AR8" i="34"/>
  <c r="AR14" i="34" s="1"/>
  <c r="AI8" i="34"/>
  <c r="G72" i="34" s="1"/>
  <c r="H72" i="34" s="1"/>
  <c r="G73" i="34"/>
  <c r="H73" i="34" s="1"/>
  <c r="G64" i="34"/>
  <c r="H64" i="34" s="1"/>
  <c r="G65" i="34"/>
  <c r="H65" i="34" s="1"/>
  <c r="G66" i="34"/>
  <c r="H66" i="34" s="1"/>
  <c r="BK18" i="34"/>
  <c r="P13" i="34"/>
  <c r="BL18" i="34" s="1"/>
  <c r="G63" i="34"/>
  <c r="H63" i="34" s="1"/>
  <c r="G20" i="34"/>
  <c r="H20" i="34" s="1"/>
  <c r="C7" i="34"/>
  <c r="G35" i="34"/>
  <c r="H35" i="34" s="1"/>
  <c r="G33" i="34"/>
  <c r="H33" i="34" s="1"/>
  <c r="G31" i="34"/>
  <c r="H31" i="34" s="1"/>
  <c r="BK10" i="34"/>
  <c r="G30" i="34"/>
  <c r="H30" i="34" s="1"/>
  <c r="E7" i="34"/>
  <c r="BL10" i="34" s="1"/>
  <c r="G34" i="34"/>
  <c r="H34" i="34" s="1"/>
  <c r="G27" i="34"/>
  <c r="H27" i="34" s="1"/>
  <c r="G36" i="34"/>
  <c r="H36" i="34" s="1"/>
  <c r="G28" i="34"/>
  <c r="H28" i="34" s="1"/>
  <c r="G29" i="34"/>
  <c r="H29" i="34" s="1"/>
  <c r="G32" i="34"/>
  <c r="H32" i="34" s="1"/>
  <c r="G49" i="34"/>
  <c r="H49" i="34" s="1"/>
  <c r="G47" i="34"/>
  <c r="H47" i="34" s="1"/>
  <c r="BK16" i="34"/>
  <c r="G56" i="34"/>
  <c r="H56" i="34" s="1"/>
  <c r="G54" i="34"/>
  <c r="H54" i="34" s="1"/>
  <c r="G52" i="34"/>
  <c r="H52" i="34" s="1"/>
  <c r="O7" i="34"/>
  <c r="BL16" i="34" s="1"/>
  <c r="G50" i="34"/>
  <c r="H50" i="34" s="1"/>
  <c r="G48" i="34"/>
  <c r="H48" i="34" s="1"/>
  <c r="G53" i="34"/>
  <c r="H53" i="34" s="1"/>
  <c r="G51" i="34"/>
  <c r="H51" i="34" s="1"/>
  <c r="G55" i="34"/>
  <c r="H55" i="34" s="1"/>
  <c r="G25" i="34"/>
  <c r="H25" i="34" s="1"/>
  <c r="G26" i="34"/>
  <c r="H26" i="34" s="1"/>
  <c r="G22" i="34"/>
  <c r="H22" i="34" s="1"/>
  <c r="BK9" i="34"/>
  <c r="D7" i="34"/>
  <c r="G24" i="34"/>
  <c r="H24" i="34" s="1"/>
  <c r="G23" i="34"/>
  <c r="H23" i="34" s="1"/>
  <c r="G41" i="34"/>
  <c r="H41" i="34" s="1"/>
  <c r="G39" i="34"/>
  <c r="H39" i="34" s="1"/>
  <c r="G37" i="34"/>
  <c r="H37" i="34" s="1"/>
  <c r="F7" i="34"/>
  <c r="G38" i="34"/>
  <c r="H38" i="34" s="1"/>
  <c r="BK11" i="34"/>
  <c r="G40" i="34"/>
  <c r="H40" i="34" s="1"/>
  <c r="G80" i="34"/>
  <c r="H80" i="34" s="1"/>
  <c r="G78" i="34"/>
  <c r="H78" i="34" s="1"/>
  <c r="G77" i="34"/>
  <c r="H77" i="34" s="1"/>
  <c r="G81" i="34"/>
  <c r="H81" i="34" s="1"/>
  <c r="BK23" i="34"/>
  <c r="G79" i="34"/>
  <c r="H79" i="34" s="1"/>
  <c r="AQ7" i="34"/>
  <c r="AH8" i="34"/>
  <c r="BM19" i="34" s="1"/>
  <c r="BN19" i="34" s="1"/>
  <c r="BL19" i="34"/>
  <c r="G60" i="34"/>
  <c r="H60" i="34" s="1"/>
  <c r="G58" i="34"/>
  <c r="H58" i="34" s="1"/>
  <c r="BK17" i="34"/>
  <c r="G61" i="34"/>
  <c r="H61" i="34" s="1"/>
  <c r="O12" i="34"/>
  <c r="G59" i="34"/>
  <c r="H59" i="34" s="1"/>
  <c r="G57" i="34"/>
  <c r="H57" i="34" s="1"/>
  <c r="M8" i="34"/>
  <c r="BM12" i="34" s="1"/>
  <c r="BN12" i="34" s="1"/>
  <c r="BL12" i="34"/>
  <c r="G41" i="33"/>
  <c r="H41" i="33" s="1"/>
  <c r="G39" i="33"/>
  <c r="H39" i="33" s="1"/>
  <c r="G37" i="33"/>
  <c r="H37" i="33" s="1"/>
  <c r="F7" i="33"/>
  <c r="G40" i="33"/>
  <c r="H40" i="33" s="1"/>
  <c r="G38" i="33"/>
  <c r="H38" i="33" s="1"/>
  <c r="BK11" i="33"/>
  <c r="G25" i="33"/>
  <c r="H25" i="33" s="1"/>
  <c r="G26" i="33"/>
  <c r="H26" i="33" s="1"/>
  <c r="G22" i="33"/>
  <c r="H22" i="33" s="1"/>
  <c r="G23" i="33"/>
  <c r="H23" i="33" s="1"/>
  <c r="BK9" i="33"/>
  <c r="D7" i="33"/>
  <c r="G24" i="33"/>
  <c r="H24" i="33" s="1"/>
  <c r="G60" i="33"/>
  <c r="H60" i="33" s="1"/>
  <c r="G58" i="33"/>
  <c r="H58" i="33" s="1"/>
  <c r="BK17" i="33"/>
  <c r="G61" i="33"/>
  <c r="H61" i="33" s="1"/>
  <c r="G57" i="33"/>
  <c r="H57" i="33" s="1"/>
  <c r="G59" i="33"/>
  <c r="H59" i="33" s="1"/>
  <c r="O12" i="33"/>
  <c r="BL8" i="33"/>
  <c r="C8" i="33"/>
  <c r="BM8" i="33" s="1"/>
  <c r="BL12" i="33"/>
  <c r="P14" i="33"/>
  <c r="BM18" i="33" s="1"/>
  <c r="BN18" i="33" s="1"/>
  <c r="BL18" i="33"/>
  <c r="G76" i="33"/>
  <c r="H76" i="33" s="1"/>
  <c r="G74" i="33"/>
  <c r="H74" i="33" s="1"/>
  <c r="G72" i="33"/>
  <c r="H72" i="33" s="1"/>
  <c r="G73" i="33"/>
  <c r="H73" i="33" s="1"/>
  <c r="BK22" i="33"/>
  <c r="G75" i="33"/>
  <c r="H75" i="33" s="1"/>
  <c r="AI9" i="33"/>
  <c r="G35" i="33"/>
  <c r="H35" i="33" s="1"/>
  <c r="G33" i="33"/>
  <c r="H33" i="33" s="1"/>
  <c r="G31" i="33"/>
  <c r="H31" i="33" s="1"/>
  <c r="BK10" i="33"/>
  <c r="G30" i="33"/>
  <c r="H30" i="33" s="1"/>
  <c r="E7" i="33"/>
  <c r="BL10" i="33" s="1"/>
  <c r="G36" i="33"/>
  <c r="H36" i="33" s="1"/>
  <c r="G34" i="33"/>
  <c r="H34" i="33" s="1"/>
  <c r="G32" i="33"/>
  <c r="H32" i="33" s="1"/>
  <c r="G29" i="33"/>
  <c r="H29" i="33" s="1"/>
  <c r="G28" i="33"/>
  <c r="H28" i="33" s="1"/>
  <c r="G27" i="33"/>
  <c r="H27" i="33" s="1"/>
  <c r="BK24" i="33"/>
  <c r="G86" i="33"/>
  <c r="H86" i="33" s="1"/>
  <c r="G84" i="33"/>
  <c r="H84" i="33" s="1"/>
  <c r="G82" i="33"/>
  <c r="H82" i="33" s="1"/>
  <c r="G85" i="33"/>
  <c r="H85" i="33" s="1"/>
  <c r="AR15" i="33"/>
  <c r="G83" i="33"/>
  <c r="H83" i="33" s="1"/>
  <c r="G49" i="33"/>
  <c r="H49" i="33" s="1"/>
  <c r="G47" i="33"/>
  <c r="H47" i="33" s="1"/>
  <c r="BK16" i="33"/>
  <c r="G56" i="33"/>
  <c r="H56" i="33" s="1"/>
  <c r="G54" i="33"/>
  <c r="H54" i="33" s="1"/>
  <c r="G52" i="33"/>
  <c r="H52" i="33" s="1"/>
  <c r="O7" i="33"/>
  <c r="BL16" i="33" s="1"/>
  <c r="G53" i="33"/>
  <c r="H53" i="33" s="1"/>
  <c r="G50" i="33"/>
  <c r="H50" i="33" s="1"/>
  <c r="G48" i="33"/>
  <c r="H48" i="33" s="1"/>
  <c r="G55" i="33"/>
  <c r="H55" i="33" s="1"/>
  <c r="G51" i="33"/>
  <c r="H51" i="33" s="1"/>
  <c r="G80" i="33"/>
  <c r="H80" i="33" s="1"/>
  <c r="G78" i="33"/>
  <c r="H78" i="33" s="1"/>
  <c r="G79" i="33"/>
  <c r="H79" i="33" s="1"/>
  <c r="G77" i="33"/>
  <c r="H77" i="33" s="1"/>
  <c r="BK23" i="33"/>
  <c r="G81" i="33"/>
  <c r="H81" i="33" s="1"/>
  <c r="AQ7" i="33"/>
  <c r="AH8" i="33"/>
  <c r="BM19" i="33" s="1"/>
  <c r="BN19" i="33" s="1"/>
  <c r="BL19" i="33"/>
  <c r="G35" i="32"/>
  <c r="H35" i="32" s="1"/>
  <c r="G33" i="32"/>
  <c r="H33" i="32" s="1"/>
  <c r="G31" i="32"/>
  <c r="H31" i="32" s="1"/>
  <c r="BK10" i="32"/>
  <c r="G30" i="32"/>
  <c r="H30" i="32" s="1"/>
  <c r="E7" i="32"/>
  <c r="BL10" i="32" s="1"/>
  <c r="G34" i="32"/>
  <c r="H34" i="32" s="1"/>
  <c r="G27" i="32"/>
  <c r="H27" i="32" s="1"/>
  <c r="G29" i="32"/>
  <c r="H29" i="32" s="1"/>
  <c r="G36" i="32"/>
  <c r="H36" i="32" s="1"/>
  <c r="G32" i="32"/>
  <c r="H32" i="32" s="1"/>
  <c r="G28" i="32"/>
  <c r="H28" i="32" s="1"/>
  <c r="M8" i="32"/>
  <c r="BM12" i="32" s="1"/>
  <c r="BN12" i="32" s="1"/>
  <c r="BL12" i="32"/>
  <c r="G49" i="32"/>
  <c r="H49" i="32" s="1"/>
  <c r="G47" i="32"/>
  <c r="H47" i="32" s="1"/>
  <c r="BK16" i="32"/>
  <c r="G56" i="32"/>
  <c r="H56" i="32" s="1"/>
  <c r="G54" i="32"/>
  <c r="H54" i="32" s="1"/>
  <c r="G52" i="32"/>
  <c r="H52" i="32" s="1"/>
  <c r="O7" i="32"/>
  <c r="BL16" i="32" s="1"/>
  <c r="G50" i="32"/>
  <c r="H50" i="32" s="1"/>
  <c r="G48" i="32"/>
  <c r="H48" i="32" s="1"/>
  <c r="G53" i="32"/>
  <c r="H53" i="32" s="1"/>
  <c r="G51" i="32"/>
  <c r="H51" i="32" s="1"/>
  <c r="G55" i="32"/>
  <c r="H55" i="32" s="1"/>
  <c r="AH8" i="32"/>
  <c r="BM19" i="32" s="1"/>
  <c r="BN19" i="32" s="1"/>
  <c r="BL19" i="32"/>
  <c r="G80" i="32"/>
  <c r="H80" i="32" s="1"/>
  <c r="G78" i="32"/>
  <c r="H78" i="32" s="1"/>
  <c r="G77" i="32"/>
  <c r="H77" i="32" s="1"/>
  <c r="BK23" i="32"/>
  <c r="G81" i="32"/>
  <c r="H81" i="32" s="1"/>
  <c r="G79" i="32"/>
  <c r="H79" i="32" s="1"/>
  <c r="AQ7" i="32"/>
  <c r="G25" i="32"/>
  <c r="H25" i="32" s="1"/>
  <c r="G26" i="32"/>
  <c r="H26" i="32" s="1"/>
  <c r="G22" i="32"/>
  <c r="H22" i="32" s="1"/>
  <c r="BK9" i="32"/>
  <c r="D7" i="32"/>
  <c r="G24" i="32"/>
  <c r="H24" i="32" s="1"/>
  <c r="G23" i="32"/>
  <c r="H23" i="32" s="1"/>
  <c r="G41" i="32"/>
  <c r="H41" i="32" s="1"/>
  <c r="G39" i="32"/>
  <c r="H39" i="32" s="1"/>
  <c r="G37" i="32"/>
  <c r="H37" i="32" s="1"/>
  <c r="F7" i="32"/>
  <c r="G38" i="32"/>
  <c r="H38" i="32" s="1"/>
  <c r="BK11" i="32"/>
  <c r="G40" i="32"/>
  <c r="H40" i="32" s="1"/>
  <c r="BK24" i="32"/>
  <c r="G86" i="32"/>
  <c r="H86" i="32" s="1"/>
  <c r="G84" i="32"/>
  <c r="H84" i="32" s="1"/>
  <c r="G82" i="32"/>
  <c r="H82" i="32" s="1"/>
  <c r="G85" i="32"/>
  <c r="H85" i="32" s="1"/>
  <c r="G83" i="32"/>
  <c r="H83" i="32" s="1"/>
  <c r="AR15" i="32"/>
  <c r="BL22" i="32"/>
  <c r="AI10" i="32"/>
  <c r="BM22" i="32" s="1"/>
  <c r="BN22" i="32" s="1"/>
  <c r="G60" i="32"/>
  <c r="H60" i="32" s="1"/>
  <c r="G58" i="32"/>
  <c r="H58" i="32" s="1"/>
  <c r="BK17" i="32"/>
  <c r="G61" i="32"/>
  <c r="H61" i="32" s="1"/>
  <c r="G59" i="32"/>
  <c r="H59" i="32" s="1"/>
  <c r="G57" i="32"/>
  <c r="H57" i="32" s="1"/>
  <c r="O12" i="32"/>
  <c r="P14" i="32"/>
  <c r="BM18" i="32" s="1"/>
  <c r="BN18" i="32" s="1"/>
  <c r="F3" i="21"/>
  <c r="F6" i="21" s="1"/>
  <c r="BK11" i="21" s="1"/>
  <c r="AH6" i="21"/>
  <c r="O8" i="33" l="1"/>
  <c r="BM16" i="33" s="1"/>
  <c r="BN16" i="33" s="1"/>
  <c r="P14" i="34"/>
  <c r="BM18" i="34" s="1"/>
  <c r="BN18" i="34" s="1"/>
  <c r="O8" i="34"/>
  <c r="BM16" i="34" s="1"/>
  <c r="BN16" i="34" s="1"/>
  <c r="E8" i="33"/>
  <c r="BM10" i="33" s="1"/>
  <c r="G86" i="34"/>
  <c r="H86" i="34" s="1"/>
  <c r="AR15" i="34"/>
  <c r="BL24" i="34" s="1"/>
  <c r="G84" i="34"/>
  <c r="H84" i="34" s="1"/>
  <c r="G83" i="34"/>
  <c r="H83" i="34" s="1"/>
  <c r="AR16" i="34" s="1"/>
  <c r="BM24" i="34" s="1"/>
  <c r="BN24" i="34" s="1"/>
  <c r="G82" i="34"/>
  <c r="H82" i="34" s="1"/>
  <c r="BK24" i="34"/>
  <c r="G85" i="34"/>
  <c r="H85" i="34" s="1"/>
  <c r="G76" i="34"/>
  <c r="H76" i="34" s="1"/>
  <c r="G75" i="34"/>
  <c r="H75" i="34" s="1"/>
  <c r="AI9" i="34"/>
  <c r="BK22" i="34"/>
  <c r="G74" i="34"/>
  <c r="H74" i="34" s="1"/>
  <c r="BL8" i="34"/>
  <c r="C8" i="34"/>
  <c r="BM8" i="34" s="1"/>
  <c r="BL23" i="34"/>
  <c r="AQ8" i="34"/>
  <c r="BM23" i="34" s="1"/>
  <c r="BN23" i="34" s="1"/>
  <c r="BL9" i="34"/>
  <c r="D8" i="34"/>
  <c r="BM9" i="34" s="1"/>
  <c r="BN8" i="34" s="1"/>
  <c r="E8" i="34"/>
  <c r="BM10" i="34" s="1"/>
  <c r="BL17" i="34"/>
  <c r="O13" i="34"/>
  <c r="BM17" i="34" s="1"/>
  <c r="BN17" i="34" s="1"/>
  <c r="F8" i="34"/>
  <c r="BM11" i="34" s="1"/>
  <c r="BL11" i="34"/>
  <c r="F8" i="33"/>
  <c r="BM11" i="33" s="1"/>
  <c r="BN10" i="33" s="1"/>
  <c r="BL11" i="33"/>
  <c r="BL23" i="33"/>
  <c r="AQ8" i="33"/>
  <c r="BM23" i="33" s="1"/>
  <c r="BN23" i="33" s="1"/>
  <c r="BL22" i="33"/>
  <c r="AI10" i="33"/>
  <c r="BM22" i="33" s="1"/>
  <c r="BN22" i="33" s="1"/>
  <c r="BL24" i="33"/>
  <c r="AR16" i="33"/>
  <c r="BM24" i="33" s="1"/>
  <c r="BN24" i="33" s="1"/>
  <c r="BL17" i="33"/>
  <c r="O13" i="33"/>
  <c r="BM17" i="33" s="1"/>
  <c r="BN17" i="33" s="1"/>
  <c r="BN15" i="33" s="1"/>
  <c r="BO15" i="33" s="1"/>
  <c r="BL9" i="33"/>
  <c r="D8" i="33"/>
  <c r="BM9" i="33" s="1"/>
  <c r="BN8" i="33" s="1"/>
  <c r="BL17" i="32"/>
  <c r="O13" i="32"/>
  <c r="BM17" i="32" s="1"/>
  <c r="BN17" i="32" s="1"/>
  <c r="BL9" i="32"/>
  <c r="D8" i="32"/>
  <c r="BM9" i="32" s="1"/>
  <c r="BN8" i="32" s="1"/>
  <c r="O8" i="32"/>
  <c r="BM16" i="32" s="1"/>
  <c r="BN16" i="32" s="1"/>
  <c r="E8" i="32"/>
  <c r="BM10" i="32" s="1"/>
  <c r="BL24" i="32"/>
  <c r="AR16" i="32"/>
  <c r="BM24" i="32" s="1"/>
  <c r="BN24" i="32" s="1"/>
  <c r="BL23" i="32"/>
  <c r="AQ8" i="32"/>
  <c r="BM23" i="32" s="1"/>
  <c r="BN23" i="32" s="1"/>
  <c r="F8" i="32"/>
  <c r="BM11" i="32" s="1"/>
  <c r="BL11" i="32"/>
  <c r="G69" i="21"/>
  <c r="H69" i="21" s="1"/>
  <c r="G68" i="21"/>
  <c r="H68" i="21" s="1"/>
  <c r="BK19" i="21"/>
  <c r="G70" i="21"/>
  <c r="H70" i="21" s="1"/>
  <c r="G71" i="21"/>
  <c r="H71" i="21" s="1"/>
  <c r="G67" i="21"/>
  <c r="H67" i="21" s="1"/>
  <c r="F7" i="21"/>
  <c r="BL11" i="21" s="1"/>
  <c r="G38" i="21"/>
  <c r="H38" i="21" s="1"/>
  <c r="G37" i="21"/>
  <c r="H37" i="21" s="1"/>
  <c r="G40" i="21"/>
  <c r="H40" i="21" s="1"/>
  <c r="G39" i="21"/>
  <c r="H39" i="21" s="1"/>
  <c r="G41" i="21"/>
  <c r="H41" i="21" s="1"/>
  <c r="BN21" i="32" l="1"/>
  <c r="BO21" i="32" s="1"/>
  <c r="BN15" i="32"/>
  <c r="BO15" i="32" s="1"/>
  <c r="BN15" i="34"/>
  <c r="BO15" i="34" s="1"/>
  <c r="AI10" i="34"/>
  <c r="BM22" i="34" s="1"/>
  <c r="BN22" i="34" s="1"/>
  <c r="BN21" i="34" s="1"/>
  <c r="BL22" i="34"/>
  <c r="BN10" i="34"/>
  <c r="BN7" i="34" s="1"/>
  <c r="BN7" i="33"/>
  <c r="BN21" i="33"/>
  <c r="BR2" i="32"/>
  <c r="BS2" i="32" s="1"/>
  <c r="BN10" i="32"/>
  <c r="BN7" i="32" s="1"/>
  <c r="F8" i="21"/>
  <c r="BM11" i="21" s="1"/>
  <c r="BR2" i="34" l="1"/>
  <c r="BS2" i="34" s="1"/>
  <c r="BO21" i="34"/>
  <c r="BO7" i="34"/>
  <c r="BR1" i="34"/>
  <c r="BS1" i="34" s="1"/>
  <c r="BO21" i="33"/>
  <c r="BR2" i="33"/>
  <c r="BS2" i="33" s="1"/>
  <c r="BO7" i="33"/>
  <c r="BR1" i="33"/>
  <c r="BS1" i="33" s="1"/>
  <c r="BO7" i="32"/>
  <c r="BR1" i="32"/>
  <c r="BS1" i="32" s="1"/>
  <c r="B10" i="21" l="1"/>
  <c r="B8" i="21"/>
  <c r="AH7" i="21"/>
  <c r="B6" i="21"/>
  <c r="AR3" i="21"/>
  <c r="AQ3" i="21"/>
  <c r="AQ6" i="21" s="1"/>
  <c r="AI3" i="21"/>
  <c r="P3" i="21"/>
  <c r="G78" i="21" l="1"/>
  <c r="H78" i="21" s="1"/>
  <c r="BK23" i="21"/>
  <c r="G79" i="21"/>
  <c r="H79" i="21" s="1"/>
  <c r="G80" i="21"/>
  <c r="H80" i="21" s="1"/>
  <c r="G77" i="21"/>
  <c r="H77" i="21" s="1"/>
  <c r="G81" i="21"/>
  <c r="H81" i="21" s="1"/>
  <c r="BL19" i="21"/>
  <c r="AH8" i="21"/>
  <c r="BM19" i="21" s="1"/>
  <c r="O16" i="21"/>
  <c r="C6" i="21"/>
  <c r="BK8" i="21" s="1"/>
  <c r="AI6" i="21"/>
  <c r="AI8" i="21" s="1"/>
  <c r="BK22" i="21" s="1"/>
  <c r="AR6" i="21"/>
  <c r="AR8" i="21" s="1"/>
  <c r="B12" i="21"/>
  <c r="B13" i="21" s="1"/>
  <c r="BN19" i="21" l="1"/>
  <c r="O12" i="21"/>
  <c r="BL17" i="21" s="1"/>
  <c r="BK17" i="21"/>
  <c r="G76" i="21"/>
  <c r="H76" i="21" s="1"/>
  <c r="G73" i="21"/>
  <c r="H73" i="21" s="1"/>
  <c r="G72" i="21"/>
  <c r="H72" i="21" s="1"/>
  <c r="G74" i="21"/>
  <c r="H74" i="21" s="1"/>
  <c r="G75" i="21"/>
  <c r="H75" i="21" s="1"/>
  <c r="G58" i="21"/>
  <c r="H58" i="21" s="1"/>
  <c r="G57" i="21"/>
  <c r="H57" i="21" s="1"/>
  <c r="G59" i="21"/>
  <c r="H59" i="21" s="1"/>
  <c r="G60" i="21"/>
  <c r="H60" i="21" s="1"/>
  <c r="G61" i="21"/>
  <c r="H61" i="21" s="1"/>
  <c r="G23" i="21"/>
  <c r="H23" i="21" s="1"/>
  <c r="G22" i="21"/>
  <c r="H22" i="21" s="1"/>
  <c r="G24" i="21"/>
  <c r="H24" i="21" s="1"/>
  <c r="G25" i="21"/>
  <c r="H25" i="21" s="1"/>
  <c r="G26" i="21"/>
  <c r="H26" i="21" s="1"/>
  <c r="G19" i="21"/>
  <c r="H19" i="21" s="1"/>
  <c r="G20" i="21"/>
  <c r="H20" i="21" s="1"/>
  <c r="G21" i="21"/>
  <c r="H21" i="21" s="1"/>
  <c r="G17" i="21"/>
  <c r="H17" i="21" s="1"/>
  <c r="G18" i="21"/>
  <c r="H18" i="21" s="1"/>
  <c r="G28" i="21"/>
  <c r="H28" i="21" s="1"/>
  <c r="G32" i="21"/>
  <c r="H32" i="21" s="1"/>
  <c r="G27" i="21"/>
  <c r="H27" i="21" s="1"/>
  <c r="G34" i="21"/>
  <c r="H34" i="21" s="1"/>
  <c r="G31" i="21"/>
  <c r="H31" i="21" s="1"/>
  <c r="G35" i="21"/>
  <c r="H35" i="21" s="1"/>
  <c r="G29" i="21"/>
  <c r="H29" i="21" s="1"/>
  <c r="G33" i="21"/>
  <c r="H33" i="21" s="1"/>
  <c r="G30" i="21"/>
  <c r="H30" i="21" s="1"/>
  <c r="P12" i="21"/>
  <c r="BK18" i="21" s="1"/>
  <c r="AR14" i="21"/>
  <c r="BK24" i="21" s="1"/>
  <c r="AI9" i="21"/>
  <c r="BL22" i="21" s="1"/>
  <c r="AQ7" i="21"/>
  <c r="C7" i="21"/>
  <c r="M6" i="21"/>
  <c r="BK12" i="21" s="1"/>
  <c r="E7" i="21"/>
  <c r="O7" i="21"/>
  <c r="D7" i="21"/>
  <c r="AQ8" i="21" l="1"/>
  <c r="BM23" i="21" s="1"/>
  <c r="BN23" i="21" s="1"/>
  <c r="BL23" i="21"/>
  <c r="E8" i="21"/>
  <c r="BM10" i="21" s="1"/>
  <c r="BN10" i="21" s="1"/>
  <c r="BL10" i="21"/>
  <c r="D8" i="21"/>
  <c r="BM9" i="21" s="1"/>
  <c r="BL9" i="21"/>
  <c r="C8" i="21"/>
  <c r="BM8" i="21" s="1"/>
  <c r="BL8" i="21"/>
  <c r="O8" i="21"/>
  <c r="BM16" i="21" s="1"/>
  <c r="BL16" i="21"/>
  <c r="G83" i="21"/>
  <c r="H83" i="21" s="1"/>
  <c r="G82" i="21"/>
  <c r="H82" i="21" s="1"/>
  <c r="G84" i="21"/>
  <c r="H84" i="21" s="1"/>
  <c r="G85" i="21"/>
  <c r="H85" i="21" s="1"/>
  <c r="G86" i="21"/>
  <c r="H86" i="21" s="1"/>
  <c r="AI10" i="21"/>
  <c r="BM22" i="21" s="1"/>
  <c r="BN22" i="21" s="1"/>
  <c r="P13" i="21"/>
  <c r="BL18" i="21" s="1"/>
  <c r="G63" i="21"/>
  <c r="H63" i="21" s="1"/>
  <c r="G62" i="21"/>
  <c r="H62" i="21" s="1"/>
  <c r="G64" i="21"/>
  <c r="H64" i="21" s="1"/>
  <c r="G65" i="21"/>
  <c r="H65" i="21" s="1"/>
  <c r="G66" i="21"/>
  <c r="H66" i="21" s="1"/>
  <c r="O13" i="21"/>
  <c r="BM17" i="21" s="1"/>
  <c r="BN17" i="21" s="1"/>
  <c r="G43" i="21"/>
  <c r="H43" i="21" s="1"/>
  <c r="G42" i="21"/>
  <c r="H42" i="21" s="1"/>
  <c r="G44" i="21"/>
  <c r="H44" i="21" s="1"/>
  <c r="G45" i="21"/>
  <c r="H45" i="21" s="1"/>
  <c r="G46" i="21"/>
  <c r="H46" i="21" s="1"/>
  <c r="AR15" i="21"/>
  <c r="BL24" i="21" s="1"/>
  <c r="M7" i="21"/>
  <c r="BL12" i="21" s="1"/>
  <c r="BN8" i="21" l="1"/>
  <c r="BN16" i="21"/>
  <c r="AR16" i="21"/>
  <c r="BM24" i="21" s="1"/>
  <c r="BN24" i="21" s="1"/>
  <c r="BN21" i="21" s="1"/>
  <c r="P14" i="21"/>
  <c r="BM18" i="21" s="1"/>
  <c r="BN18" i="21" s="1"/>
  <c r="BN15" i="21" s="1"/>
  <c r="BO15" i="21" s="1"/>
  <c r="M8" i="21"/>
  <c r="BM12" i="21" s="1"/>
  <c r="BN12" i="21" s="1"/>
  <c r="BN7" i="21" s="1"/>
  <c r="BO7" i="21" s="1"/>
  <c r="BR2" i="21" l="1"/>
  <c r="BS2" i="21" s="1"/>
  <c r="BO21" i="21"/>
  <c r="BR1" i="21"/>
  <c r="BS1" i="21" s="1"/>
</calcChain>
</file>

<file path=xl/sharedStrings.xml><?xml version="1.0" encoding="utf-8"?>
<sst xmlns="http://schemas.openxmlformats.org/spreadsheetml/2006/main" count="1271" uniqueCount="165">
  <si>
    <t>Categoria</t>
  </si>
  <si>
    <t>Permanente</t>
  </si>
  <si>
    <t>2.1 PQ/DT</t>
  </si>
  <si>
    <t>FOR</t>
  </si>
  <si>
    <t>ATI</t>
  </si>
  <si>
    <t>2.3 D3A</t>
  </si>
  <si>
    <t>D3A</t>
  </si>
  <si>
    <t>3. Corpo Discente</t>
  </si>
  <si>
    <t>ORI</t>
  </si>
  <si>
    <t>PSA</t>
  </si>
  <si>
    <t>NRD</t>
  </si>
  <si>
    <t>3.3 QTD</t>
  </si>
  <si>
    <t>PIL</t>
  </si>
  <si>
    <t>PNL</t>
  </si>
  <si>
    <t>PIC</t>
  </si>
  <si>
    <t>PNC</t>
  </si>
  <si>
    <t>PID</t>
  </si>
  <si>
    <t>PND</t>
  </si>
  <si>
    <t>SWR</t>
  </si>
  <si>
    <t>A1</t>
  </si>
  <si>
    <t>A2</t>
  </si>
  <si>
    <t>B1</t>
  </si>
  <si>
    <t>B2</t>
  </si>
  <si>
    <t>B3</t>
  </si>
  <si>
    <t>B4</t>
  </si>
  <si>
    <t>B5</t>
  </si>
  <si>
    <t>AI</t>
  </si>
  <si>
    <t xml:space="preserve">AN </t>
  </si>
  <si>
    <t>REI</t>
  </si>
  <si>
    <t>3.4 EFT</t>
  </si>
  <si>
    <t>4. Produção Intelectual</t>
  </si>
  <si>
    <t>4.1 PQDP</t>
  </si>
  <si>
    <t>4.2 A1/A2/B1</t>
  </si>
  <si>
    <t>4.3 QTP</t>
  </si>
  <si>
    <t>PTC</t>
  </si>
  <si>
    <t>EFT</t>
  </si>
  <si>
    <t>PQD</t>
  </si>
  <si>
    <t>CLI</t>
  </si>
  <si>
    <t>CLN</t>
  </si>
  <si>
    <t>LID</t>
  </si>
  <si>
    <t>2. Corpo Docente</t>
  </si>
  <si>
    <t>DPD</t>
  </si>
  <si>
    <t>TD</t>
  </si>
  <si>
    <t>DP</t>
  </si>
  <si>
    <t>DC</t>
  </si>
  <si>
    <t>1. Proposta do programa</t>
  </si>
  <si>
    <t>1.1 Coerencia...</t>
  </si>
  <si>
    <t>Peso</t>
  </si>
  <si>
    <t>1.2 Planejamento ...</t>
  </si>
  <si>
    <t>1.3 Infraestrutura...</t>
  </si>
  <si>
    <t>Qualitativo</t>
  </si>
  <si>
    <t>3.4 Tempo de formação de mestres</t>
  </si>
  <si>
    <t>4.4 Produção artística</t>
  </si>
  <si>
    <t>5. Inserção Social</t>
  </si>
  <si>
    <t>5.1 Inserção e impacto regional</t>
  </si>
  <si>
    <t>5.2 Integração e cooperação outras IES</t>
  </si>
  <si>
    <t>5.3 - Visibilidade do programa</t>
  </si>
  <si>
    <t>2.4 Participação graduação e IC</t>
  </si>
  <si>
    <t>3.1 Mestres/TD</t>
  </si>
  <si>
    <t>3.3 Produções discentes e egressos</t>
  </si>
  <si>
    <t>4.1 Publicações DP/TD</t>
  </si>
  <si>
    <t>4.3 Produção técnica DP/TD</t>
  </si>
  <si>
    <t xml:space="preserve">2.1 DP: Bolsistas Produtividade </t>
  </si>
  <si>
    <t>2.3 DP: 4Disciplinas/A1A2B1/2Defesas</t>
  </si>
  <si>
    <t>2.2 DP: Disciplinas/DP</t>
  </si>
  <si>
    <t>3.2 DP: não concluiu orientação/DP</t>
  </si>
  <si>
    <t>4.2 DP: % com A1A2B1</t>
  </si>
  <si>
    <t>Preencher apenas campos em amarelo</t>
  </si>
  <si>
    <t>DOCENTE</t>
  </si>
  <si>
    <t>Categoria Docente</t>
  </si>
  <si>
    <t>Colaborador</t>
  </si>
  <si>
    <t>3. Corpo Discente*</t>
  </si>
  <si>
    <t>4. Produção Intelectual*</t>
  </si>
  <si>
    <t>2. Corpo docente*</t>
  </si>
  <si>
    <t>PQD/ano</t>
  </si>
  <si>
    <t>2.1 Índice h</t>
  </si>
  <si>
    <t>h médio</t>
  </si>
  <si>
    <t>2.2 PR</t>
  </si>
  <si>
    <t>PR</t>
  </si>
  <si>
    <t>SUB1=PRD</t>
  </si>
  <si>
    <t>SUB2=OTD</t>
  </si>
  <si>
    <t>ITEM</t>
  </si>
  <si>
    <t>QUANTI</t>
  </si>
  <si>
    <t>QUALI</t>
  </si>
  <si>
    <t>SUB1=PTC/ano</t>
  </si>
  <si>
    <t>SUB2=OT</t>
  </si>
  <si>
    <t>2.1 DP: Índice h médio</t>
  </si>
  <si>
    <t>2.2 DP: Projetos de pesquisa</t>
  </si>
  <si>
    <t>CONCEITO</t>
  </si>
  <si>
    <t>PESO</t>
  </si>
  <si>
    <t>NOTA</t>
  </si>
  <si>
    <t>RESULTADO</t>
  </si>
  <si>
    <t>MB</t>
  </si>
  <si>
    <t>ITEM (PRD+OTD)</t>
  </si>
  <si>
    <t>ITEM (PTC+OT)</t>
  </si>
  <si>
    <t>R</t>
  </si>
  <si>
    <t>F</t>
  </si>
  <si>
    <t>Não se aplica</t>
  </si>
  <si>
    <t>B</t>
  </si>
  <si>
    <t>CREDENCIAMENTO</t>
  </si>
  <si>
    <t>RECREDENCIAMENTO</t>
  </si>
  <si>
    <t>QUESITOS</t>
  </si>
  <si>
    <t>DESCRIÇÃO</t>
  </si>
  <si>
    <t>CONCEITO QUESITO</t>
  </si>
  <si>
    <t>DP/TD</t>
  </si>
  <si>
    <t>2.2 Discip/ano</t>
  </si>
  <si>
    <t>IMPOR</t>
  </si>
  <si>
    <t>CALC</t>
  </si>
  <si>
    <t>3.1 Quantos Mestres titulados?</t>
  </si>
  <si>
    <t>3.4 Tempo mediano, em meses, para discentes serem titulados?</t>
  </si>
  <si>
    <t>4.1 Indicador PQDP é calculado. Informar números de A1-B5</t>
  </si>
  <si>
    <t>2.3 Indicador D3A é calculado</t>
  </si>
  <si>
    <t>4.2 Indicador A1/A2/B1 (DPD) é calculado.</t>
  </si>
  <si>
    <t>2.2 Informar número de disciplinas lecionadas</t>
  </si>
  <si>
    <t>2.Corpo Docente</t>
  </si>
  <si>
    <t>Número  de  patentes  internacionais licenciadas</t>
  </si>
  <si>
    <t>Número    de    patentes    nacionais licenciadas</t>
  </si>
  <si>
    <t>Número  de  patentes  internacionais concedidas</t>
  </si>
  <si>
    <t>Número   de   patentes   nacionais concedidas</t>
  </si>
  <si>
    <t>Número  de  patentes  internacionais depositadas</t>
  </si>
  <si>
    <t>Número   de   patentes   nacionais depositadas</t>
  </si>
  <si>
    <t xml:space="preserve"> Software registrado no INPI</t>
  </si>
  <si>
    <t>Número  de  capítulos  de  livros  de circulação internacional</t>
  </si>
  <si>
    <t>Número  de  capítulos  de  livros  de circulação nacional</t>
  </si>
  <si>
    <t xml:space="preserve">Número  de  livros  (texto  integral)  com repercussão   tecnológica,   de   extensão   ou didática (não científica). </t>
  </si>
  <si>
    <t>Anais (Internacional)</t>
  </si>
  <si>
    <t>Anais (Nacional)</t>
  </si>
  <si>
    <t>Resumos Estendidos Internacionais</t>
  </si>
  <si>
    <t>Legenda explicativa dos indicadores</t>
  </si>
  <si>
    <t>Legenda explicativa dos itens de produção técnica</t>
  </si>
  <si>
    <t>3.3 Indicador QTD é calculado. Informar quantidade de produção técnica PIL-REI (ver legenda abaixo)</t>
  </si>
  <si>
    <t>4.3 Indicador QTP é calculado. Informar quantidade de produção técnica PIL-REI (ver legenda abaixo)</t>
  </si>
  <si>
    <t>(inserir nome)</t>
  </si>
  <si>
    <t>Indicador</t>
  </si>
  <si>
    <t>LI-CAPES</t>
  </si>
  <si>
    <t>LS-CAPES</t>
  </si>
  <si>
    <t>LI-0-10</t>
  </si>
  <si>
    <t>LS-0-10</t>
  </si>
  <si>
    <t>#-CAPES</t>
  </si>
  <si>
    <t>#-0-10</t>
  </si>
  <si>
    <t>Conceito</t>
  </si>
  <si>
    <t>I</t>
  </si>
  <si>
    <t>H</t>
  </si>
  <si>
    <t>ITEM(PRD)</t>
  </si>
  <si>
    <t>EFD</t>
  </si>
  <si>
    <t>ITEM(PTC)</t>
  </si>
  <si>
    <t>Fpesq</t>
  </si>
  <si>
    <t>Ppesq</t>
  </si>
  <si>
    <t>Finaciado</t>
  </si>
  <si>
    <t>Disc</t>
  </si>
  <si>
    <t>Ext</t>
  </si>
  <si>
    <t>Valor</t>
  </si>
  <si>
    <t>2.4 IC</t>
  </si>
  <si>
    <t>IC</t>
  </si>
  <si>
    <t>2.2 Ppesq é calculado</t>
  </si>
  <si>
    <t>2.2 PR é calculado</t>
  </si>
  <si>
    <t>2.2 Fpesq é calculado</t>
  </si>
  <si>
    <t>3.1/3.2 Mestres/ano</t>
  </si>
  <si>
    <t>2.1 Bolsista PQ ou DT? Se sim, preencher com 1 (apenas último ano)</t>
  </si>
  <si>
    <t>2.1 Informar índice h com base na base scopus (apenas último ano)</t>
  </si>
  <si>
    <t>2.2 Financiado: possui projeto com financiamento? Se sim, preencher com 1 (apenas último ano)</t>
  </si>
  <si>
    <t>2.2 Disc: há discentes participando do projeto com financiamento? Se sim, preencher com 1 (apenas último ano)</t>
  </si>
  <si>
    <t>2.2 Disc: há externos participando do projeto com financiamento? Se sim, preencher com 1 (apenas último ano)</t>
  </si>
  <si>
    <t>2.2 Valor: informa valor do financiamento do projeto (apenas último ano)</t>
  </si>
  <si>
    <t>2.4 Orienta Iniciação Científica? Se sim, preencher com 1 (apenas último ano)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</si>
</sst>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0.0%"/>
    <numFmt numFmtId="168" formatCode="_-* #,##0.000_-;\-* #,##0.000_-;_-* &quot;-&quot;??_-;_-@_-"/>
    <numFmt numFmtId="169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2">
    <xf numFmtId="0" fontId="0" fillId="0" borderId="0" xfId="0"/>
    <xf numFmtId="43" fontId="0" fillId="0" borderId="0" xfId="2" applyFont="1" applyAlignment="1">
      <alignment horizontal="center"/>
    </xf>
    <xf numFmtId="43" fontId="3" fillId="0" borderId="0" xfId="2" applyFont="1" applyAlignment="1">
      <alignment horizontal="center"/>
    </xf>
    <xf numFmtId="165" fontId="0" fillId="0" borderId="0" xfId="2" applyNumberFormat="1" applyFon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2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right"/>
    </xf>
    <xf numFmtId="43" fontId="0" fillId="0" borderId="0" xfId="0" applyNumberForma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9" fontId="3" fillId="0" borderId="0" xfId="1" applyFont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left"/>
    </xf>
    <xf numFmtId="0" fontId="3" fillId="0" borderId="0" xfId="0" applyFont="1" applyAlignment="1"/>
    <xf numFmtId="164" fontId="3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quotePrefix="1" applyAlignment="1">
      <alignment horizontal="left"/>
    </xf>
    <xf numFmtId="0" fontId="4" fillId="0" borderId="0" xfId="0" applyFont="1" applyAlignment="1">
      <alignment horizontal="left"/>
    </xf>
    <xf numFmtId="167" fontId="0" fillId="0" borderId="0" xfId="1" applyNumberFormat="1" applyFont="1" applyAlignment="1">
      <alignment horizontal="center"/>
    </xf>
    <xf numFmtId="167" fontId="0" fillId="0" borderId="0" xfId="0" applyNumberFormat="1" applyAlignment="1">
      <alignment horizontal="right"/>
    </xf>
    <xf numFmtId="169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10" fontId="3" fillId="0" borderId="0" xfId="1" applyNumberFormat="1" applyFont="1" applyAlignment="1">
      <alignment horizontal="left"/>
    </xf>
    <xf numFmtId="43" fontId="3" fillId="0" borderId="0" xfId="0" applyNumberFormat="1" applyFont="1" applyAlignment="1">
      <alignment horizontal="center"/>
    </xf>
    <xf numFmtId="166" fontId="0" fillId="4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4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0" fontId="0" fillId="0" borderId="0" xfId="0" applyNumberFormat="1" applyFont="1" applyAlignment="1">
      <alignment horizontal="left"/>
    </xf>
    <xf numFmtId="0" fontId="0" fillId="2" borderId="0" xfId="0" applyFont="1" applyFill="1" applyAlignment="1" applyProtection="1">
      <alignment horizontal="left" vertical="top"/>
    </xf>
    <xf numFmtId="0" fontId="0" fillId="2" borderId="0" xfId="0" applyFill="1" applyAlignment="1" applyProtection="1">
      <alignment horizontal="center"/>
    </xf>
    <xf numFmtId="0" fontId="0" fillId="0" borderId="0" xfId="0" applyAlignment="1">
      <alignment wrapText="1"/>
    </xf>
    <xf numFmtId="0" fontId="0" fillId="0" borderId="0" xfId="0" applyAlignment="1"/>
    <xf numFmtId="0" fontId="3" fillId="0" borderId="0" xfId="0" applyFont="1"/>
    <xf numFmtId="164" fontId="0" fillId="0" borderId="0" xfId="2" applyNumberFormat="1" applyFont="1"/>
    <xf numFmtId="0" fontId="0" fillId="0" borderId="0" xfId="0" applyFill="1"/>
    <xf numFmtId="0" fontId="0" fillId="5" borderId="0" xfId="0" applyFill="1"/>
    <xf numFmtId="0" fontId="0" fillId="0" borderId="0" xfId="0" applyFill="1" applyAlignment="1" applyProtection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/>
    <xf numFmtId="169" fontId="0" fillId="0" borderId="0" xfId="0" applyNumberFormat="1"/>
    <xf numFmtId="167" fontId="0" fillId="0" borderId="0" xfId="0" applyNumberFormat="1"/>
    <xf numFmtId="164" fontId="0" fillId="0" borderId="0" xfId="0" applyNumberFormat="1"/>
    <xf numFmtId="9" fontId="0" fillId="0" borderId="0" xfId="0" applyNumberFormat="1" applyFill="1"/>
    <xf numFmtId="0" fontId="0" fillId="0" borderId="0" xfId="0" applyFont="1" applyAlignment="1">
      <alignment horizontal="center"/>
    </xf>
    <xf numFmtId="43" fontId="0" fillId="0" borderId="0" xfId="0" applyNumberFormat="1" applyFill="1"/>
    <xf numFmtId="1" fontId="0" fillId="0" borderId="0" xfId="0" applyNumberFormat="1" applyAlignment="1">
      <alignment horizontal="right"/>
    </xf>
    <xf numFmtId="165" fontId="0" fillId="2" borderId="0" xfId="2" applyNumberFormat="1" applyFont="1" applyFill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0" fontId="0" fillId="3" borderId="0" xfId="0" applyFill="1"/>
    <xf numFmtId="169" fontId="0" fillId="3" borderId="0" xfId="0" applyNumberFormat="1" applyFill="1"/>
    <xf numFmtId="164" fontId="0" fillId="3" borderId="0" xfId="2" applyNumberFormat="1" applyFont="1" applyFill="1"/>
    <xf numFmtId="43" fontId="0" fillId="3" borderId="0" xfId="0" applyNumberFormat="1" applyFill="1"/>
    <xf numFmtId="9" fontId="0" fillId="3" borderId="0" xfId="0" applyNumberFormat="1" applyFill="1"/>
    <xf numFmtId="0" fontId="0" fillId="0" borderId="0" xfId="0" applyFill="1" applyAlignment="1">
      <alignment horizontal="center"/>
    </xf>
    <xf numFmtId="165" fontId="0" fillId="0" borderId="0" xfId="2" applyNumberFormat="1" applyFont="1" applyAlignment="1">
      <alignment horizontal="right"/>
    </xf>
    <xf numFmtId="166" fontId="0" fillId="0" borderId="0" xfId="0" applyNumberFormat="1" applyAlignment="1">
      <alignment horizontal="right"/>
    </xf>
    <xf numFmtId="43" fontId="0" fillId="2" borderId="0" xfId="2" applyFont="1" applyFill="1" applyAlignment="1" applyProtection="1">
      <alignment horizontal="center"/>
    </xf>
  </cellXfs>
  <cellStyles count="4">
    <cellStyle name="Normal" xfId="0" builtinId="0"/>
    <cellStyle name="Porcentagem" xfId="1" builtinId="5"/>
    <cellStyle name="Vírgula" xfId="2" builtinId="3"/>
    <cellStyle name="Vírgula 2" xfId="3"/>
  </cellStyles>
  <dxfs count="35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1"/>
  <sheetViews>
    <sheetView workbookViewId="0">
      <selection activeCell="A22" sqref="A22"/>
    </sheetView>
  </sheetViews>
  <sheetFormatPr defaultRowHeight="14.4" x14ac:dyDescent="0.3"/>
  <cols>
    <col min="1" max="1" width="7.77734375" customWidth="1"/>
    <col min="2" max="2" width="94.33203125" bestFit="1" customWidth="1"/>
  </cols>
  <sheetData>
    <row r="1" spans="1:1" x14ac:dyDescent="0.3">
      <c r="A1" s="45" t="s">
        <v>128</v>
      </c>
    </row>
    <row r="2" spans="1:1" x14ac:dyDescent="0.3">
      <c r="A2" s="20" t="s">
        <v>114</v>
      </c>
    </row>
    <row r="3" spans="1:1" x14ac:dyDescent="0.3">
      <c r="A3" s="38" t="s">
        <v>158</v>
      </c>
    </row>
    <row r="4" spans="1:1" x14ac:dyDescent="0.3">
      <c r="A4" s="38" t="s">
        <v>159</v>
      </c>
    </row>
    <row r="5" spans="1:1" x14ac:dyDescent="0.3">
      <c r="A5" s="38" t="s">
        <v>113</v>
      </c>
    </row>
    <row r="6" spans="1:1" x14ac:dyDescent="0.3">
      <c r="A6" s="38" t="s">
        <v>155</v>
      </c>
    </row>
    <row r="7" spans="1:1" x14ac:dyDescent="0.3">
      <c r="A7" s="38" t="s">
        <v>154</v>
      </c>
    </row>
    <row r="8" spans="1:1" x14ac:dyDescent="0.3">
      <c r="A8" s="38" t="s">
        <v>160</v>
      </c>
    </row>
    <row r="9" spans="1:1" x14ac:dyDescent="0.3">
      <c r="A9" s="38" t="s">
        <v>161</v>
      </c>
    </row>
    <row r="10" spans="1:1" x14ac:dyDescent="0.3">
      <c r="A10" s="38" t="s">
        <v>162</v>
      </c>
    </row>
    <row r="11" spans="1:1" x14ac:dyDescent="0.3">
      <c r="A11" s="38" t="s">
        <v>156</v>
      </c>
    </row>
    <row r="12" spans="1:1" x14ac:dyDescent="0.3">
      <c r="A12" s="38" t="s">
        <v>163</v>
      </c>
    </row>
    <row r="13" spans="1:1" x14ac:dyDescent="0.3">
      <c r="A13" s="40" t="s">
        <v>111</v>
      </c>
    </row>
    <row r="14" spans="1:1" x14ac:dyDescent="0.3">
      <c r="A14" s="40" t="s">
        <v>164</v>
      </c>
    </row>
    <row r="15" spans="1:1" x14ac:dyDescent="0.3">
      <c r="A15" s="20" t="s">
        <v>7</v>
      </c>
    </row>
    <row r="16" spans="1:1" x14ac:dyDescent="0.3">
      <c r="A16" s="38" t="s">
        <v>108</v>
      </c>
    </row>
    <row r="17" spans="1:2" x14ac:dyDescent="0.3">
      <c r="A17" s="38" t="s">
        <v>130</v>
      </c>
    </row>
    <row r="18" spans="1:2" x14ac:dyDescent="0.3">
      <c r="A18" s="38" t="s">
        <v>109</v>
      </c>
    </row>
    <row r="19" spans="1:2" x14ac:dyDescent="0.3">
      <c r="A19" s="20" t="s">
        <v>30</v>
      </c>
    </row>
    <row r="20" spans="1:2" x14ac:dyDescent="0.3">
      <c r="A20" s="38" t="s">
        <v>110</v>
      </c>
    </row>
    <row r="21" spans="1:2" x14ac:dyDescent="0.3">
      <c r="A21" s="38" t="s">
        <v>112</v>
      </c>
    </row>
    <row r="22" spans="1:2" x14ac:dyDescent="0.3">
      <c r="A22" s="38" t="s">
        <v>131</v>
      </c>
    </row>
    <row r="24" spans="1:2" x14ac:dyDescent="0.3">
      <c r="A24" s="20" t="s">
        <v>129</v>
      </c>
    </row>
    <row r="25" spans="1:2" x14ac:dyDescent="0.3">
      <c r="A25" s="17" t="s">
        <v>12</v>
      </c>
      <c r="B25" s="44" t="s">
        <v>115</v>
      </c>
    </row>
    <row r="26" spans="1:2" x14ac:dyDescent="0.3">
      <c r="A26" s="17" t="s">
        <v>13</v>
      </c>
      <c r="B26" s="43" t="s">
        <v>116</v>
      </c>
    </row>
    <row r="27" spans="1:2" x14ac:dyDescent="0.3">
      <c r="A27" s="17" t="s">
        <v>14</v>
      </c>
      <c r="B27" s="44" t="s">
        <v>117</v>
      </c>
    </row>
    <row r="28" spans="1:2" x14ac:dyDescent="0.3">
      <c r="A28" s="17" t="s">
        <v>15</v>
      </c>
      <c r="B28" s="44" t="s">
        <v>118</v>
      </c>
    </row>
    <row r="29" spans="1:2" x14ac:dyDescent="0.3">
      <c r="A29" s="17" t="s">
        <v>16</v>
      </c>
      <c r="B29" s="44" t="s">
        <v>119</v>
      </c>
    </row>
    <row r="30" spans="1:2" x14ac:dyDescent="0.3">
      <c r="A30" s="17" t="s">
        <v>17</v>
      </c>
      <c r="B30" s="44" t="s">
        <v>120</v>
      </c>
    </row>
    <row r="31" spans="1:2" x14ac:dyDescent="0.3">
      <c r="A31" s="17" t="s">
        <v>18</v>
      </c>
      <c r="B31" s="44" t="s">
        <v>121</v>
      </c>
    </row>
    <row r="32" spans="1:2" x14ac:dyDescent="0.3">
      <c r="A32" s="17" t="s">
        <v>37</v>
      </c>
      <c r="B32" s="44" t="s">
        <v>122</v>
      </c>
    </row>
    <row r="33" spans="1:2" x14ac:dyDescent="0.3">
      <c r="A33" s="17" t="s">
        <v>38</v>
      </c>
      <c r="B33" s="44" t="s">
        <v>123</v>
      </c>
    </row>
    <row r="34" spans="1:2" x14ac:dyDescent="0.3">
      <c r="A34" s="17" t="s">
        <v>39</v>
      </c>
      <c r="B34" s="44" t="s">
        <v>124</v>
      </c>
    </row>
    <row r="35" spans="1:2" x14ac:dyDescent="0.3">
      <c r="A35" s="17" t="s">
        <v>26</v>
      </c>
      <c r="B35" s="44" t="s">
        <v>125</v>
      </c>
    </row>
    <row r="36" spans="1:2" x14ac:dyDescent="0.3">
      <c r="A36" s="17" t="s">
        <v>27</v>
      </c>
      <c r="B36" s="44" t="s">
        <v>126</v>
      </c>
    </row>
    <row r="37" spans="1:2" x14ac:dyDescent="0.3">
      <c r="A37" s="17" t="s">
        <v>28</v>
      </c>
      <c r="B37" s="44" t="s">
        <v>127</v>
      </c>
    </row>
    <row r="38" spans="1:2" x14ac:dyDescent="0.3">
      <c r="A38" s="17"/>
    </row>
    <row r="39" spans="1:2" x14ac:dyDescent="0.3">
      <c r="A39" s="17"/>
    </row>
    <row r="40" spans="1:2" x14ac:dyDescent="0.3">
      <c r="A40" s="17"/>
    </row>
    <row r="41" spans="1:2" x14ac:dyDescent="0.3">
      <c r="A41" s="17"/>
    </row>
  </sheetData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7"/>
  <sheetViews>
    <sheetView zoomScale="85" zoomScaleNormal="85" workbookViewId="0">
      <selection activeCell="C96" sqref="C96"/>
    </sheetView>
  </sheetViews>
  <sheetFormatPr defaultColWidth="8.5546875" defaultRowHeight="14.4" outlineLevelRow="1" outlineLevelCol="1" x14ac:dyDescent="0.3"/>
  <cols>
    <col min="1" max="1" width="34.21875" style="38" bestFit="1" customWidth="1"/>
    <col min="2" max="2" width="11" style="15" bestFit="1" customWidth="1"/>
    <col min="3" max="3" width="15.77734375" style="15" bestFit="1" customWidth="1"/>
    <col min="4" max="4" width="10.6640625" style="15" bestFit="1" customWidth="1"/>
    <col min="5" max="5" width="13.21875" style="15" bestFit="1" customWidth="1"/>
    <col min="6" max="6" width="8" style="15" bestFit="1" customWidth="1"/>
    <col min="7" max="7" width="7.44140625" style="15" customWidth="1"/>
    <col min="8" max="8" width="8.77734375" style="15" bestFit="1" customWidth="1"/>
    <col min="9" max="12" width="6.21875" style="15" customWidth="1"/>
    <col min="13" max="13" width="7.77734375" style="15" bestFit="1" customWidth="1"/>
    <col min="14" max="14" width="7.77734375" style="15" customWidth="1"/>
    <col min="15" max="15" width="16" style="15" bestFit="1" customWidth="1"/>
    <col min="16" max="16" width="10" style="15" bestFit="1" customWidth="1"/>
    <col min="17" max="17" width="7.77734375" style="15" bestFit="1" customWidth="1"/>
    <col min="18" max="18" width="4.21875" style="15" bestFit="1" customWidth="1"/>
    <col min="19" max="19" width="3.6640625" style="15" bestFit="1" customWidth="1"/>
    <col min="20" max="20" width="4.44140625" style="15" bestFit="1" customWidth="1"/>
    <col min="21" max="21" width="3.77734375" style="15" bestFit="1" customWidth="1"/>
    <col min="22" max="22" width="4.77734375" style="15" bestFit="1" customWidth="1"/>
    <col min="23" max="23" width="4.88671875" style="15" bestFit="1" customWidth="1"/>
    <col min="24" max="30" width="3.21875" style="15" bestFit="1" customWidth="1"/>
    <col min="31" max="31" width="2.77734375" style="15" bestFit="1" customWidth="1"/>
    <col min="32" max="32" width="4.109375" style="15" bestFit="1" customWidth="1"/>
    <col min="33" max="33" width="3.6640625" style="15" bestFit="1" customWidth="1"/>
    <col min="34" max="34" width="7" style="15" bestFit="1" customWidth="1"/>
    <col min="35" max="35" width="20.77734375" style="15" bestFit="1" customWidth="1"/>
    <col min="36" max="37" width="3.21875" style="15" bestFit="1" customWidth="1"/>
    <col min="38" max="38" width="3.33203125" style="15" bestFit="1" customWidth="1"/>
    <col min="39" max="42" width="3.21875" style="15" bestFit="1" customWidth="1"/>
    <col min="43" max="43" width="12.77734375" style="15" bestFit="1" customWidth="1"/>
    <col min="44" max="44" width="13.44140625" style="15" bestFit="1" customWidth="1"/>
    <col min="45" max="45" width="7.77734375" style="15" bestFit="1" customWidth="1"/>
    <col min="46" max="46" width="4.21875" style="15" bestFit="1" customWidth="1"/>
    <col min="47" max="47" width="3.6640625" style="15" bestFit="1" customWidth="1"/>
    <col min="48" max="48" width="4.44140625" style="15" bestFit="1" customWidth="1"/>
    <col min="49" max="49" width="3.77734375" style="15" bestFit="1" customWidth="1"/>
    <col min="50" max="50" width="4.77734375" style="15" bestFit="1" customWidth="1"/>
    <col min="51" max="51" width="4.88671875" style="15" bestFit="1" customWidth="1"/>
    <col min="52" max="52" width="3.33203125" style="15" bestFit="1" customWidth="1"/>
    <col min="53" max="53" width="4.21875" style="15" bestFit="1" customWidth="1"/>
    <col min="54" max="54" width="3.6640625" style="15" bestFit="1" customWidth="1"/>
    <col min="55" max="55" width="2.77734375" style="15" bestFit="1" customWidth="1"/>
    <col min="56" max="56" width="4.109375" style="15" bestFit="1" customWidth="1"/>
    <col min="57" max="57" width="3.6640625" style="15" bestFit="1" customWidth="1"/>
    <col min="58" max="58" width="12.21875" style="15" customWidth="1"/>
    <col min="59" max="59" width="13.77734375" style="15" hidden="1" customWidth="1" outlineLevel="1"/>
    <col min="60" max="60" width="15.109375" style="15" hidden="1" customWidth="1" outlineLevel="1"/>
    <col min="61" max="61" width="5.33203125" style="15" hidden="1" customWidth="1" outlineLevel="1"/>
    <col min="62" max="62" width="6.88671875" style="15" hidden="1" customWidth="1" outlineLevel="1"/>
    <col min="63" max="63" width="6.77734375" style="15" hidden="1" customWidth="1" outlineLevel="1"/>
    <col min="64" max="64" width="9.77734375" style="15" hidden="1" customWidth="1" outlineLevel="1"/>
    <col min="65" max="65" width="7" style="15" hidden="1" customWidth="1" outlineLevel="1"/>
    <col min="66" max="66" width="11.109375" style="15" hidden="1" customWidth="1" outlineLevel="1"/>
    <col min="67" max="67" width="17.77734375" style="15" hidden="1" customWidth="1" outlineLevel="1"/>
    <col min="68" max="68" width="0" style="15" hidden="1" customWidth="1" outlineLevel="1" collapsed="1"/>
    <col min="69" max="69" width="19.5546875" style="15" bestFit="1" customWidth="1" collapsed="1"/>
    <col min="70" max="71" width="7.44140625" style="15" bestFit="1" customWidth="1"/>
    <col min="72" max="16384" width="8.5546875" style="15"/>
  </cols>
  <sheetData>
    <row r="1" spans="1:71" s="23" customFormat="1" x14ac:dyDescent="0.3">
      <c r="A1" s="39"/>
      <c r="C1" s="23" t="s">
        <v>40</v>
      </c>
      <c r="O1" s="23" t="s">
        <v>7</v>
      </c>
      <c r="AI1" s="23" t="s">
        <v>30</v>
      </c>
      <c r="BG1" s="20" t="s">
        <v>101</v>
      </c>
      <c r="BH1" s="17" t="s">
        <v>102</v>
      </c>
      <c r="BI1" s="17" t="s">
        <v>89</v>
      </c>
      <c r="BJ1" s="17" t="s">
        <v>106</v>
      </c>
      <c r="BK1" s="17" t="s">
        <v>107</v>
      </c>
      <c r="BL1" s="17" t="s">
        <v>88</v>
      </c>
      <c r="BM1" s="17" t="s">
        <v>90</v>
      </c>
      <c r="BN1" s="17" t="s">
        <v>91</v>
      </c>
      <c r="BO1" s="17" t="s">
        <v>103</v>
      </c>
      <c r="BQ1" s="20" t="s">
        <v>100</v>
      </c>
      <c r="BR1" s="2">
        <f>(BI7*BN7+BI15*BN15+BI21*BN21)/0.9</f>
        <v>0</v>
      </c>
      <c r="BS1" s="17" t="str">
        <f>IF(BR1&lt;2,"I",IF(AND(BR1&gt;=2,BR1&lt;4),"F",IF(AND(BR1&gt;=4,BR1&lt;6),"R",IF(AND(BR1&gt;=6,BR1&lt;8),"B","MB"))))</f>
        <v>I</v>
      </c>
    </row>
    <row r="2" spans="1:71" s="17" customFormat="1" x14ac:dyDescent="0.3">
      <c r="A2" s="20" t="s">
        <v>68</v>
      </c>
      <c r="B2" s="17" t="s">
        <v>0</v>
      </c>
      <c r="C2" s="17" t="s">
        <v>2</v>
      </c>
      <c r="D2" s="17" t="s">
        <v>75</v>
      </c>
      <c r="E2" s="17" t="s">
        <v>105</v>
      </c>
      <c r="F2" s="17" t="s">
        <v>77</v>
      </c>
      <c r="G2" s="17" t="s">
        <v>147</v>
      </c>
      <c r="H2" s="17" t="s">
        <v>148</v>
      </c>
      <c r="I2" s="17" t="s">
        <v>149</v>
      </c>
      <c r="J2" s="17" t="s">
        <v>150</v>
      </c>
      <c r="K2" s="17" t="s">
        <v>146</v>
      </c>
      <c r="L2" s="17" t="s">
        <v>151</v>
      </c>
      <c r="M2" s="17" t="s">
        <v>5</v>
      </c>
      <c r="N2" s="17" t="s">
        <v>152</v>
      </c>
      <c r="O2" s="17" t="s">
        <v>157</v>
      </c>
      <c r="P2" s="17" t="s">
        <v>11</v>
      </c>
      <c r="Q2" s="17" t="s">
        <v>12</v>
      </c>
      <c r="R2" s="17" t="s">
        <v>13</v>
      </c>
      <c r="S2" s="17" t="s">
        <v>14</v>
      </c>
      <c r="T2" s="17" t="s">
        <v>15</v>
      </c>
      <c r="U2" s="17" t="s">
        <v>16</v>
      </c>
      <c r="V2" s="17" t="s">
        <v>17</v>
      </c>
      <c r="W2" s="17" t="s">
        <v>18</v>
      </c>
      <c r="X2" s="17" t="s">
        <v>19</v>
      </c>
      <c r="Y2" s="17" t="s">
        <v>20</v>
      </c>
      <c r="Z2" s="17" t="s">
        <v>21</v>
      </c>
      <c r="AA2" s="17" t="s">
        <v>22</v>
      </c>
      <c r="AB2" s="17" t="s">
        <v>23</v>
      </c>
      <c r="AC2" s="17" t="s">
        <v>24</v>
      </c>
      <c r="AD2" s="17" t="s">
        <v>25</v>
      </c>
      <c r="AE2" s="17" t="s">
        <v>26</v>
      </c>
      <c r="AF2" s="17" t="s">
        <v>27</v>
      </c>
      <c r="AG2" s="17" t="s">
        <v>28</v>
      </c>
      <c r="AH2" s="17" t="s">
        <v>29</v>
      </c>
      <c r="AI2" s="17" t="s">
        <v>31</v>
      </c>
      <c r="AJ2" s="17" t="s">
        <v>19</v>
      </c>
      <c r="AK2" s="17" t="s">
        <v>20</v>
      </c>
      <c r="AL2" s="17" t="s">
        <v>21</v>
      </c>
      <c r="AM2" s="17" t="s">
        <v>22</v>
      </c>
      <c r="AN2" s="17" t="s">
        <v>23</v>
      </c>
      <c r="AO2" s="17" t="s">
        <v>24</v>
      </c>
      <c r="AP2" s="17" t="s">
        <v>25</v>
      </c>
      <c r="AQ2" s="17" t="s">
        <v>32</v>
      </c>
      <c r="AR2" s="17" t="s">
        <v>33</v>
      </c>
      <c r="AS2" s="17" t="s">
        <v>12</v>
      </c>
      <c r="AT2" s="17" t="s">
        <v>13</v>
      </c>
      <c r="AU2" s="17" t="s">
        <v>14</v>
      </c>
      <c r="AV2" s="17" t="s">
        <v>15</v>
      </c>
      <c r="AW2" s="17" t="s">
        <v>16</v>
      </c>
      <c r="AX2" s="17" t="s">
        <v>17</v>
      </c>
      <c r="AY2" s="17" t="s">
        <v>18</v>
      </c>
      <c r="AZ2" s="17" t="s">
        <v>37</v>
      </c>
      <c r="BA2" s="17" t="s">
        <v>38</v>
      </c>
      <c r="BB2" s="17" t="s">
        <v>39</v>
      </c>
      <c r="BC2" s="17" t="s">
        <v>26</v>
      </c>
      <c r="BD2" s="17" t="s">
        <v>27</v>
      </c>
      <c r="BE2" s="17" t="s">
        <v>28</v>
      </c>
      <c r="BG2" s="20" t="s">
        <v>45</v>
      </c>
      <c r="BI2" s="18">
        <v>0</v>
      </c>
      <c r="BN2" s="24">
        <f>SUM(BN3:BN5)</f>
        <v>4.2</v>
      </c>
      <c r="BO2" s="17" t="str">
        <f>IF(BN2&lt;2,"I",IF(AND(BN2&gt;=2,BN2&lt;4),"F",IF(AND(BN2&gt;=4,BN2&lt;6),"R",IF(AND(BN2&gt;=6,BN2&lt;8),"B","MB"))))</f>
        <v>R</v>
      </c>
      <c r="BQ2" s="36" t="s">
        <v>99</v>
      </c>
      <c r="BR2" s="34">
        <f>BN21</f>
        <v>0</v>
      </c>
      <c r="BS2" s="17" t="str">
        <f>IF(BR2&lt;2,"I",IF(AND(BR2&gt;=2,BR2&lt;4),"F",IF(AND(BR2&gt;=4,BR2&lt;6),"R",IF(AND(BR2&gt;=6,BR2&lt;8),"B","MB"))))</f>
        <v>I</v>
      </c>
    </row>
    <row r="3" spans="1:71" x14ac:dyDescent="0.3">
      <c r="A3" s="41" t="s">
        <v>132</v>
      </c>
      <c r="B3" s="42" t="s">
        <v>1</v>
      </c>
      <c r="C3" s="42"/>
      <c r="D3" s="42"/>
      <c r="E3" s="42"/>
      <c r="F3" s="49">
        <f>G3+K3</f>
        <v>0</v>
      </c>
      <c r="G3" s="49">
        <f>IF(H3=1,SUM(H3:J3),0)</f>
        <v>0</v>
      </c>
      <c r="H3" s="42"/>
      <c r="I3" s="42"/>
      <c r="J3" s="42"/>
      <c r="K3" s="49">
        <f>IF(L3&lt;20000,0,IF(AND(L3&gt;=20000,L3&lt;=50000),1,2))</f>
        <v>0</v>
      </c>
      <c r="L3" s="42"/>
      <c r="M3" s="3">
        <f>COUNTIFS(E3,"&gt;=1",O3,"&gt;=0.5",AQ3,"&gt;=1")</f>
        <v>0</v>
      </c>
      <c r="N3" s="59"/>
      <c r="O3" s="19">
        <v>0</v>
      </c>
      <c r="P3" s="1">
        <f>4*Q3+3*R3+2*S3+T3+0.1*U3+0.05*V3+0.05*W3+X3+0.9*Y3+0.75*Z3+0.5*AA3+0.3*AB3+0.1*AC3+0.05*AD3+0.1*AE3+0.05*AF3+0.025*AG3</f>
        <v>0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">
        <f t="shared" ref="AI3" si="0">AJ3+0.9*AK3+0.75*AL3+0.5*AM3+0.3*AN3+0.1*AO3+0.05*AP3</f>
        <v>0</v>
      </c>
      <c r="AJ3" s="35"/>
      <c r="AK3" s="35"/>
      <c r="AL3" s="35"/>
      <c r="AM3" s="35"/>
      <c r="AN3" s="19"/>
      <c r="AO3" s="19"/>
      <c r="AP3" s="19"/>
      <c r="AQ3" s="3">
        <f t="shared" ref="AQ3" si="1">IF(SUM(AJ3:AL3)&gt;=0.001,1,0)</f>
        <v>0</v>
      </c>
      <c r="AR3" s="1">
        <f t="shared" ref="AR3" si="2">4*AS3+3*AT3+2*AU3+AV3+0.1*AW3+0.05*AX3+0.05*AY3+0.2*AZ3+0.1*BA3+0.5*BB3+0.1*BC3+0.05*BD3+0.025*BE3</f>
        <v>0</v>
      </c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G3" s="21" t="s">
        <v>46</v>
      </c>
      <c r="BH3" s="11" t="s">
        <v>50</v>
      </c>
      <c r="BI3" s="15">
        <v>0.4</v>
      </c>
      <c r="BJ3" s="16">
        <v>0</v>
      </c>
      <c r="BL3" s="15" t="s">
        <v>95</v>
      </c>
      <c r="BM3" s="1">
        <f>IF(BL3="I",1,IF(BL3="F",3,IF(BL3="R",5,IF(BL3="B",7,9))))</f>
        <v>5</v>
      </c>
      <c r="BN3" s="25">
        <f>BI3*BM3</f>
        <v>2</v>
      </c>
    </row>
    <row r="4" spans="1:71" x14ac:dyDescent="0.3">
      <c r="A4" s="22" t="s">
        <v>67</v>
      </c>
      <c r="BG4" s="21" t="s">
        <v>48</v>
      </c>
      <c r="BH4" s="11" t="s">
        <v>50</v>
      </c>
      <c r="BI4" s="15">
        <v>0.4</v>
      </c>
      <c r="BJ4" s="16">
        <v>0</v>
      </c>
      <c r="BL4" s="15" t="s">
        <v>96</v>
      </c>
      <c r="BM4" s="1">
        <f t="shared" ref="BM4:BM5" si="3">IF(BL4="I",1,IF(BL4="F",3,IF(BL4="R",5,IF(BL4="B",7,9))))</f>
        <v>3</v>
      </c>
      <c r="BN4" s="25">
        <f>BI4*BM4</f>
        <v>1.2000000000000002</v>
      </c>
      <c r="BQ4" s="1"/>
    </row>
    <row r="5" spans="1:71" hidden="1" outlineLevel="1" x14ac:dyDescent="0.3">
      <c r="B5" s="17" t="s">
        <v>42</v>
      </c>
      <c r="C5" s="17" t="s">
        <v>3</v>
      </c>
      <c r="D5" s="17" t="s">
        <v>76</v>
      </c>
      <c r="E5" s="17" t="s">
        <v>4</v>
      </c>
      <c r="F5" s="17" t="s">
        <v>78</v>
      </c>
      <c r="G5" s="17"/>
      <c r="H5" s="17"/>
      <c r="I5" s="17"/>
      <c r="J5" s="17"/>
      <c r="K5" s="17"/>
      <c r="L5" s="17"/>
      <c r="M5" s="17" t="s">
        <v>6</v>
      </c>
      <c r="N5" s="17" t="s">
        <v>153</v>
      </c>
      <c r="O5" s="17" t="s">
        <v>8</v>
      </c>
      <c r="P5" s="17" t="s">
        <v>79</v>
      </c>
      <c r="Q5" s="6" t="s">
        <v>82</v>
      </c>
      <c r="AH5" s="17" t="s">
        <v>35</v>
      </c>
      <c r="AI5" s="17" t="s">
        <v>36</v>
      </c>
      <c r="AQ5" s="17" t="s">
        <v>41</v>
      </c>
      <c r="AR5" s="17" t="s">
        <v>34</v>
      </c>
      <c r="BG5" s="21" t="s">
        <v>49</v>
      </c>
      <c r="BH5" s="11" t="s">
        <v>50</v>
      </c>
      <c r="BI5" s="15">
        <v>0.2</v>
      </c>
      <c r="BJ5" s="16">
        <v>0</v>
      </c>
      <c r="BL5" s="15" t="s">
        <v>95</v>
      </c>
      <c r="BM5" s="1">
        <f t="shared" si="3"/>
        <v>5</v>
      </c>
      <c r="BN5" s="25">
        <f>BI5*BM5</f>
        <v>1</v>
      </c>
      <c r="BQ5" s="1"/>
    </row>
    <row r="6" spans="1:71" hidden="1" outlineLevel="1" x14ac:dyDescent="0.3">
      <c r="B6" s="15">
        <f>COUNTA(B3:B3)</f>
        <v>1</v>
      </c>
      <c r="C6" s="28">
        <f>SUMIF(B3:B3,"=Permanente",C3:C3)/B6</f>
        <v>0</v>
      </c>
      <c r="D6" s="5">
        <f>SUMIF(B3:B3,"=Permanente",D3:D3)/B10</f>
        <v>0</v>
      </c>
      <c r="E6" s="1">
        <f>SUMIF(B3:B3,"=Permanente",E3:E3)/B10</f>
        <v>0</v>
      </c>
      <c r="F6" s="50">
        <f>SUMIF(B3,"=Permanente",F3:F3)/B10</f>
        <v>0</v>
      </c>
      <c r="M6" s="16">
        <f>SUMIF(B3:B3,"=Permanente",M3:M3)/B10</f>
        <v>0</v>
      </c>
      <c r="N6" s="60">
        <f>N3</f>
        <v>0</v>
      </c>
      <c r="O6" s="1">
        <f>SUMIF(B3:B3,"=Permanente",O3:O3)/B6</f>
        <v>0</v>
      </c>
      <c r="P6" s="1">
        <f>IF(O3=0,(SUMIF(B3:B3,"=Permanente",P3:P3)+SUMIF(B3:B3,"=Colaborador",P3:P3))/0.5,(SUMIF(B3:B3,"=Permanente",P3:P3)+SUMIF(B3:B3,"=Colaborador",P3:P3))/O16)</f>
        <v>0</v>
      </c>
      <c r="AH6" s="15">
        <f>IF(AH3&gt;0,MEDIAN(AH3:AH3),100)</f>
        <v>100</v>
      </c>
      <c r="AI6" s="1">
        <f>SUMIF(B3:B3,"=Permanente",AI3:AI3)/B6</f>
        <v>0</v>
      </c>
      <c r="AQ6" s="16">
        <f>SUMIF(B3:B3,"=Permanente",AQ3:AQ3)/B10</f>
        <v>0</v>
      </c>
      <c r="AR6" s="1">
        <f>SUMIF(B3:B3,"=Permanente",AR3:AR3)/B6</f>
        <v>0</v>
      </c>
      <c r="BG6" s="21"/>
      <c r="BJ6" s="16"/>
      <c r="BM6" s="1"/>
      <c r="BN6" s="25"/>
      <c r="BQ6" s="1"/>
    </row>
    <row r="7" spans="1:71" hidden="1" outlineLevel="1" x14ac:dyDescent="0.3">
      <c r="A7" s="38" t="s">
        <v>69</v>
      </c>
      <c r="B7" s="17" t="s">
        <v>44</v>
      </c>
      <c r="C7" s="17" t="str">
        <f>IF(C6&lt;0.1,"I",IF(AND(C6&gt;=0.1,C6&lt;0.2),"F",IF(AND(C6&gt;=0.2,C6&lt;0.3),"R",IF(AND(C6&gt;=0.3,C6&lt;0.4),"B","MB"))))</f>
        <v>I</v>
      </c>
      <c r="D7" s="17" t="str">
        <f>IF(D6&lt;3,"I",IF(AND(D6&gt;=3,D6&lt;4),"F",IF(AND(D6&gt;=4,D6&lt;5.5),"R",IF(AND(D6&gt;=5.5,D6&lt;7),"B","MB"))))</f>
        <v>I</v>
      </c>
      <c r="E7" s="17" t="str">
        <f>IF(E6&lt;0.4,"I",IF(OR(AND(E6&gt;=0.4,E6&lt;0.6),AND(E6&gt;4,E6&lt;=4.5)),"F",IF(OR(AND(E6&gt;=0.6,E6&lt;0.8),AND(E6&gt;3.5,E6&lt;=4)),"R",IF(OR(AND(E6&gt;=0.8,E6&lt;1),AND(E6&gt;3,E6&lt;=3.5)),"B",IF(AND(E6&gt;=1,E6&lt;=3),"MB","I")))))</f>
        <v>I</v>
      </c>
      <c r="F7" s="17" t="str">
        <f>IF(F6&lt;1,"I",IF(AND(F6&gt;=1,F6&lt;2),"F",IF(AND(F6&gt;=2,F6&lt;3),"R",IF(AND(F6&gt;=3,F6&lt;4),"B","MB"))))</f>
        <v>I</v>
      </c>
      <c r="G7" s="17"/>
      <c r="H7" s="17"/>
      <c r="I7" s="17"/>
      <c r="J7" s="17"/>
      <c r="K7" s="17"/>
      <c r="L7" s="17"/>
      <c r="M7" s="17" t="str">
        <f>IF(M6&lt;0.2,"I",IF(AND(M6&gt;=0.2,M6&lt;0.3),"F",IF(AND(M6&gt;=0.3,M6&lt;0.45),"R",IF(AND(M6&gt;=0.45,M6&lt;0.6),"B","MB"))))</f>
        <v>I</v>
      </c>
      <c r="N7" s="17" t="str">
        <f>IF(N6=1,"MB","I")</f>
        <v>I</v>
      </c>
      <c r="O7" s="17" t="str">
        <f>IF(O6&lt;0.4,"I",IF(OR(AND(O6&gt;=0.4,O6&lt;0.7),AND(O6&gt;8,O6&lt;=10)),"F",IF(OR(AND(O6&gt;=0.7,O6&lt;1),AND(O6&gt;6,O6&lt;=8)),"R",IF(OR(AND(O6&gt;=1,O6&lt;1.5),AND(O6&gt;5,O6&lt;=6)),"B",IF(AND(O6&gt;=1.5,O6&lt;=5),"MB","I")))))</f>
        <v>I</v>
      </c>
      <c r="P7" s="17" t="s">
        <v>80</v>
      </c>
      <c r="Q7" s="15" t="s">
        <v>83</v>
      </c>
      <c r="AH7" s="17" t="str">
        <f>IF(AH6&gt;36,"I",IF(AND(AH6&gt;34,AH6&lt;=36),"F",IF(AND(AH6&gt;32,AH6&lt;=34),"R",IF(AND(AH6&gt;30,AH6&lt;=32),"B","MB"))))</f>
        <v>I</v>
      </c>
      <c r="AI7" s="17" t="s">
        <v>74</v>
      </c>
      <c r="AQ7" s="17" t="str">
        <f>IF(AQ6&lt;0.35,"I",IF(AND(AQ6&gt;=0.35,AQ6&lt;0.55),"F",IF(AND(AQ6&gt;=0.55,AQ6&lt;0.7),"R",IF(AND(AQ6&gt;=0.7,AQ6&lt;0.85),"B","MB"))))</f>
        <v>I</v>
      </c>
      <c r="AR7" s="17" t="s">
        <v>84</v>
      </c>
      <c r="BG7" s="20" t="s">
        <v>73</v>
      </c>
      <c r="BH7" s="17"/>
      <c r="BI7" s="18">
        <v>0.2</v>
      </c>
      <c r="BJ7" s="18"/>
      <c r="BK7" s="17"/>
      <c r="BL7" s="17"/>
      <c r="BM7" s="1"/>
      <c r="BN7" s="24">
        <f>SUM(BN8:BN13)</f>
        <v>0</v>
      </c>
      <c r="BO7" s="17" t="str">
        <f>IF(BN7&lt;2,"I",IF(AND(BN7&gt;=2,BN7&lt;4),"F",IF(AND(BN7&gt;=4,BN7&lt;6),"R",IF(AND(BN7&gt;=6,BN7&lt;8),"B","MB"))))</f>
        <v>I</v>
      </c>
      <c r="BQ7" s="1"/>
    </row>
    <row r="8" spans="1:71" hidden="1" outlineLevel="1" x14ac:dyDescent="0.3">
      <c r="A8" s="38" t="s">
        <v>1</v>
      </c>
      <c r="B8" s="15">
        <f>COUNTIF(B3:B3,"=Colaborador")</f>
        <v>0</v>
      </c>
      <c r="C8" s="32">
        <f>SUMIF(B17:B21,C7,H17:H21)</f>
        <v>0</v>
      </c>
      <c r="D8" s="32">
        <f>SUMIF(B22:B26,D7,H22:H26)</f>
        <v>0</v>
      </c>
      <c r="E8" s="1">
        <f>IF(E6&gt;D31,SUMIF(B32:B36,E7,H32:H36),SUMIF(B27:B31,E7,H27:H31))</f>
        <v>0</v>
      </c>
      <c r="F8" s="15">
        <f>SUMIF(B37:B41,F7,H37:H41)</f>
        <v>0</v>
      </c>
      <c r="M8" s="15">
        <f>SUMIF(B42:B46,M7,H42:H46)</f>
        <v>0</v>
      </c>
      <c r="N8" s="61">
        <f>N6</f>
        <v>0</v>
      </c>
      <c r="O8" s="1">
        <f>IF(O6&gt;D51,SUMIF(B52:B56,O7,H52:H56),SUMIF(B47:B51,O7,H47:H51))</f>
        <v>0</v>
      </c>
      <c r="P8" s="15">
        <v>1</v>
      </c>
      <c r="AH8" s="32">
        <f>SUMIF(B67:B71,AH7,H67:H71)</f>
        <v>0</v>
      </c>
      <c r="AI8" s="37">
        <f>AI6</f>
        <v>0</v>
      </c>
      <c r="AQ8" s="32">
        <f>SUMIF(B77:B81,AQ7,H77:H81)</f>
        <v>0</v>
      </c>
      <c r="AR8" s="4">
        <f>AR6</f>
        <v>0</v>
      </c>
      <c r="AS8" s="15" t="s">
        <v>82</v>
      </c>
      <c r="BG8" s="21" t="s">
        <v>62</v>
      </c>
      <c r="BH8" s="15" t="s">
        <v>3</v>
      </c>
      <c r="BI8" s="15">
        <v>0.3</v>
      </c>
      <c r="BJ8" s="16">
        <f>BI8*$BI$7</f>
        <v>0.06</v>
      </c>
      <c r="BK8" s="29">
        <f>C6</f>
        <v>0</v>
      </c>
      <c r="BL8" s="15" t="str">
        <f>C7</f>
        <v>I</v>
      </c>
      <c r="BM8" s="1">
        <f>C8</f>
        <v>0</v>
      </c>
      <c r="BN8" s="25">
        <f>(0.67*BM8+0.33*BM9)*BI8</f>
        <v>0</v>
      </c>
      <c r="BO8" s="1"/>
      <c r="BQ8" s="1"/>
    </row>
    <row r="9" spans="1:71" hidden="1" outlineLevel="1" x14ac:dyDescent="0.3">
      <c r="A9" s="38" t="s">
        <v>70</v>
      </c>
      <c r="B9" s="17" t="s">
        <v>43</v>
      </c>
      <c r="P9" s="17" t="s">
        <v>47</v>
      </c>
      <c r="AI9" s="17" t="str">
        <f>IF(AI8&lt;0.3,"I",IF(AND(AI8&gt;=0.3,AI8&lt;0.45),"F",IF(AND(AI8&gt;=0.45,AI8&lt;0.65),"R",IF(AND(AI8&gt;=0.65,AI8&lt;0.95),"B","MB"))))</f>
        <v>I</v>
      </c>
      <c r="AR9" s="17" t="s">
        <v>85</v>
      </c>
      <c r="BG9" s="21" t="s">
        <v>86</v>
      </c>
      <c r="BH9" s="15" t="s">
        <v>76</v>
      </c>
      <c r="BJ9" s="16"/>
      <c r="BK9" s="29">
        <f>D6</f>
        <v>0</v>
      </c>
      <c r="BL9" s="15" t="str">
        <f>D7</f>
        <v>I</v>
      </c>
      <c r="BM9" s="1">
        <f>D8</f>
        <v>0</v>
      </c>
      <c r="BN9" s="25"/>
      <c r="BO9" s="1"/>
      <c r="BQ9" s="1"/>
    </row>
    <row r="10" spans="1:71" hidden="1" outlineLevel="1" x14ac:dyDescent="0.3">
      <c r="B10" s="15">
        <f>COUNTIF(B3:B3,"=Permanente")</f>
        <v>1</v>
      </c>
      <c r="F10" s="25"/>
      <c r="O10" s="17" t="s">
        <v>9</v>
      </c>
      <c r="P10" s="15">
        <v>0</v>
      </c>
      <c r="Q10" s="4"/>
      <c r="AI10" s="32">
        <f>SUMIF(B72:B76,AI9,H72:H76)</f>
        <v>0</v>
      </c>
      <c r="AR10" s="15">
        <v>1</v>
      </c>
      <c r="AS10" s="15" t="s">
        <v>83</v>
      </c>
      <c r="BG10" s="21" t="s">
        <v>64</v>
      </c>
      <c r="BH10" s="15" t="s">
        <v>4</v>
      </c>
      <c r="BI10" s="15">
        <v>0.3</v>
      </c>
      <c r="BJ10" s="16">
        <f>BI10*$BI$7</f>
        <v>0.06</v>
      </c>
      <c r="BK10" s="30">
        <f>E6</f>
        <v>0</v>
      </c>
      <c r="BL10" s="15" t="str">
        <f>E7</f>
        <v>I</v>
      </c>
      <c r="BM10" s="1">
        <f>E8</f>
        <v>0</v>
      </c>
      <c r="BN10" s="25">
        <f>(0.67*BM10+0.33*BM11)*BI10</f>
        <v>0</v>
      </c>
      <c r="BO10" s="1"/>
    </row>
    <row r="11" spans="1:71" hidden="1" outlineLevel="1" x14ac:dyDescent="0.3">
      <c r="B11" s="17" t="s">
        <v>104</v>
      </c>
      <c r="O11" s="16">
        <f>COUNTIFS(B3:B3,"=Permanente",O3:O3,"=0")/B10</f>
        <v>1</v>
      </c>
      <c r="P11" s="17" t="s">
        <v>81</v>
      </c>
      <c r="AR11" s="17" t="s">
        <v>47</v>
      </c>
      <c r="BG11" s="21" t="s">
        <v>87</v>
      </c>
      <c r="BH11" s="15" t="s">
        <v>78</v>
      </c>
      <c r="BJ11" s="16"/>
      <c r="BK11" s="58">
        <f>F6</f>
        <v>0</v>
      </c>
      <c r="BL11" s="15" t="str">
        <f>F7</f>
        <v>I</v>
      </c>
      <c r="BM11" s="1">
        <f>F8</f>
        <v>0</v>
      </c>
      <c r="BN11" s="7"/>
      <c r="BO11" s="1"/>
      <c r="BQ11" s="1"/>
    </row>
    <row r="12" spans="1:71" hidden="1" outlineLevel="1" x14ac:dyDescent="0.3">
      <c r="B12" s="16">
        <f>B10/B6</f>
        <v>1</v>
      </c>
      <c r="O12" s="17" t="str">
        <f>IF(O11&lt;0.15,"MB",IF(AND(O11&gt;0.35,O11&lt;=0.45),"F",IF(AND(O11&gt;0.25,O11&lt;=0.35),"R",IF(AND(O11&gt;0.15,O11&lt;=0.25),"B","I"))))</f>
        <v>I</v>
      </c>
      <c r="P12" s="4">
        <f>P6+P10*P8/LARGE(P8,1)*MEDIAN(P3)</f>
        <v>0</v>
      </c>
      <c r="AR12" s="15">
        <v>0</v>
      </c>
      <c r="BG12" s="21" t="s">
        <v>63</v>
      </c>
      <c r="BH12" s="15" t="s">
        <v>6</v>
      </c>
      <c r="BI12" s="15">
        <v>0.3</v>
      </c>
      <c r="BJ12" s="16">
        <f>BI12*$BI$7</f>
        <v>0.06</v>
      </c>
      <c r="BK12" s="31">
        <f>M6</f>
        <v>0</v>
      </c>
      <c r="BL12" s="15" t="str">
        <f>M7</f>
        <v>I</v>
      </c>
      <c r="BM12" s="1">
        <f>M8</f>
        <v>0</v>
      </c>
      <c r="BN12" s="25">
        <f>BM12*BI12</f>
        <v>0</v>
      </c>
      <c r="BO12" s="1"/>
      <c r="BQ12" s="1"/>
    </row>
    <row r="13" spans="1:71" hidden="1" outlineLevel="1" x14ac:dyDescent="0.3">
      <c r="B13" s="6" t="str">
        <f>IF(B12&gt;0.7,"OK","REDUZIR DC")</f>
        <v>OK</v>
      </c>
      <c r="O13" s="15">
        <f>SUMIF(B57:B61,O12,H57:H61)</f>
        <v>0</v>
      </c>
      <c r="P13" s="17" t="str">
        <f>IF(P12&lt;0.2,"I",IF(AND(P12&gt;=0.2,P12&lt;0.3),"F",IF(AND(P12&gt;=0.3,P12&lt;0.4),"R",IF(AND(P12&gt;=0.4,P12&lt;0.5),"B","MB"))))</f>
        <v>I</v>
      </c>
      <c r="AR13" s="17" t="s">
        <v>81</v>
      </c>
      <c r="BG13" s="21" t="s">
        <v>57</v>
      </c>
      <c r="BH13" s="11" t="s">
        <v>50</v>
      </c>
      <c r="BI13" s="15">
        <v>0.1</v>
      </c>
      <c r="BJ13" s="16">
        <f>BI13*$BI$7</f>
        <v>2.0000000000000004E-2</v>
      </c>
      <c r="BK13" s="62">
        <f>N6</f>
        <v>0</v>
      </c>
      <c r="BL13" s="15" t="str">
        <f>N7</f>
        <v>I</v>
      </c>
      <c r="BM13" s="1">
        <f>N8</f>
        <v>0</v>
      </c>
      <c r="BN13" s="25">
        <f>BM13*BI13</f>
        <v>0</v>
      </c>
      <c r="BO13" s="1"/>
      <c r="BQ13" s="1"/>
    </row>
    <row r="14" spans="1:71" s="17" customFormat="1" hidden="1" outlineLevel="1" x14ac:dyDescent="0.3">
      <c r="A14" s="38"/>
      <c r="O14" s="56"/>
      <c r="P14" s="32">
        <f>SUMIF(B62:B66,P13,H62:H66)</f>
        <v>0</v>
      </c>
      <c r="AR14" s="4">
        <f>AR8+AR12*AR10/LARGE(AR10,1)*MEDIAN(AR3)</f>
        <v>0</v>
      </c>
      <c r="AS14" s="15"/>
      <c r="BG14" s="21"/>
      <c r="BH14" s="15"/>
      <c r="BI14" s="15"/>
      <c r="BJ14" s="16"/>
      <c r="BK14" s="12"/>
      <c r="BL14" s="15"/>
      <c r="BM14" s="1"/>
      <c r="BN14" s="25"/>
      <c r="BO14" s="1"/>
      <c r="BP14" s="15"/>
      <c r="BQ14" s="1"/>
    </row>
    <row r="15" spans="1:71" s="17" customFormat="1" hidden="1" outlineLevel="1" x14ac:dyDescent="0.3">
      <c r="A15" s="38"/>
      <c r="O15" s="17" t="s">
        <v>10</v>
      </c>
      <c r="P15" s="56"/>
      <c r="AR15" s="17" t="str">
        <f>IF(AR14&lt;0.1,"I",IF(AND(AR14&gt;=0.1,AR14&lt;0.15),"F",IF(AND(AR14&gt;=0.15,AR14&lt;0.2),"R",IF(AND(AR14&gt;=0.2,AR14&lt;0.25),"B","MB"))))</f>
        <v>I</v>
      </c>
      <c r="AS15" s="15"/>
      <c r="BG15" s="20" t="s">
        <v>71</v>
      </c>
      <c r="BI15" s="18">
        <v>0.35</v>
      </c>
      <c r="BJ15" s="18"/>
      <c r="BK15" s="14"/>
      <c r="BM15" s="1"/>
      <c r="BN15" s="24">
        <f>SUM(BN16:BN19)</f>
        <v>0</v>
      </c>
      <c r="BO15" s="17" t="str">
        <f>IF(BN15&lt;2,"I",IF(AND(BN15&gt;=2,BN15&lt;4),"F",IF(AND(BN15&gt;=4,BN15&lt;6),"R",IF(AND(BN15&gt;=6,BN15&lt;8),"B","MB"))))</f>
        <v>I</v>
      </c>
      <c r="BP15" s="15"/>
      <c r="BQ15" s="1"/>
    </row>
    <row r="16" spans="1:71" hidden="1" outlineLevel="1" x14ac:dyDescent="0.3">
      <c r="A16" t="s">
        <v>133</v>
      </c>
      <c r="B16" t="s">
        <v>140</v>
      </c>
      <c r="C16" t="s">
        <v>134</v>
      </c>
      <c r="D16" t="s">
        <v>135</v>
      </c>
      <c r="E16" t="s">
        <v>136</v>
      </c>
      <c r="F16" t="s">
        <v>137</v>
      </c>
      <c r="G16" t="s">
        <v>138</v>
      </c>
      <c r="H16" t="s">
        <v>139</v>
      </c>
      <c r="O16" s="15">
        <f>SUMIF(B3:B3,"=Permanente",O3:O3)+SUMIF(B3:B3,"=Colaborador",O3:O3)</f>
        <v>0</v>
      </c>
      <c r="AR16" s="32">
        <f>SUMIF(B82:B86,AR15,H82:H86)</f>
        <v>0</v>
      </c>
      <c r="AS16" s="17"/>
      <c r="BG16" s="21" t="s">
        <v>58</v>
      </c>
      <c r="BH16" s="15" t="s">
        <v>8</v>
      </c>
      <c r="BI16" s="15">
        <v>0.3</v>
      </c>
      <c r="BJ16" s="16">
        <f>BI16*$BI$15</f>
        <v>0.105</v>
      </c>
      <c r="BK16" s="13">
        <f>O6</f>
        <v>0</v>
      </c>
      <c r="BL16" s="15" t="str">
        <f>O7</f>
        <v>I</v>
      </c>
      <c r="BM16" s="1">
        <f>O8</f>
        <v>0</v>
      </c>
      <c r="BN16" s="8">
        <f>BM16*BI16</f>
        <v>0</v>
      </c>
      <c r="BO16" s="1"/>
      <c r="BQ16" s="1"/>
    </row>
    <row r="17" spans="1:71" hidden="1" outlineLevel="1" x14ac:dyDescent="0.3">
      <c r="A17" t="s">
        <v>3</v>
      </c>
      <c r="B17" t="s">
        <v>141</v>
      </c>
      <c r="C17">
        <v>0</v>
      </c>
      <c r="D17">
        <v>0.1</v>
      </c>
      <c r="E17">
        <v>0</v>
      </c>
      <c r="F17">
        <v>2</v>
      </c>
      <c r="G17" s="53">
        <f>$C$6</f>
        <v>0</v>
      </c>
      <c r="H17" s="46">
        <f>(F17-E17)/(D17-C17)*(G17-C17)+E17</f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BG17" s="21" t="s">
        <v>65</v>
      </c>
      <c r="BH17" s="15" t="s">
        <v>9</v>
      </c>
      <c r="BI17" s="15">
        <v>0.1</v>
      </c>
      <c r="BJ17" s="16">
        <f t="shared" ref="BJ17:BJ19" si="4">BI17*$BI$15</f>
        <v>3.4999999999999996E-2</v>
      </c>
      <c r="BK17" s="31">
        <f>O11</f>
        <v>1</v>
      </c>
      <c r="BL17" s="10" t="str">
        <f>O12</f>
        <v>I</v>
      </c>
      <c r="BM17" s="1">
        <f>O13</f>
        <v>0</v>
      </c>
      <c r="BN17" s="8">
        <f>BM17*BI17</f>
        <v>0</v>
      </c>
      <c r="BO17" s="1"/>
      <c r="BQ17" s="1"/>
    </row>
    <row r="18" spans="1:71" hidden="1" outlineLevel="1" x14ac:dyDescent="0.3">
      <c r="A18" t="s">
        <v>3</v>
      </c>
      <c r="B18" t="s">
        <v>96</v>
      </c>
      <c r="C18">
        <v>0.1</v>
      </c>
      <c r="D18">
        <v>0.2</v>
      </c>
      <c r="E18">
        <v>2</v>
      </c>
      <c r="F18">
        <v>4</v>
      </c>
      <c r="G18" s="53">
        <f t="shared" ref="G18:G21" si="5">$C$6</f>
        <v>0</v>
      </c>
      <c r="H18" s="46">
        <f t="shared" ref="H18:H21" si="6">(F18-E18)/(D18-C18)*(G18-C18)+E18</f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BG18" s="21" t="s">
        <v>59</v>
      </c>
      <c r="BH18" s="15" t="s">
        <v>93</v>
      </c>
      <c r="BI18" s="15">
        <v>0.5</v>
      </c>
      <c r="BJ18" s="16">
        <f t="shared" si="4"/>
        <v>0.17499999999999999</v>
      </c>
      <c r="BK18" s="13">
        <f>P12</f>
        <v>0</v>
      </c>
      <c r="BL18" s="15" t="str">
        <f>P13</f>
        <v>I</v>
      </c>
      <c r="BM18" s="1">
        <f>P14</f>
        <v>0</v>
      </c>
      <c r="BN18" s="8">
        <f>BM18*BI18</f>
        <v>0</v>
      </c>
      <c r="BO18" s="1"/>
      <c r="BQ18" s="1"/>
    </row>
    <row r="19" spans="1:71" hidden="1" outlineLevel="1" x14ac:dyDescent="0.3">
      <c r="A19" t="s">
        <v>3</v>
      </c>
      <c r="B19" t="s">
        <v>95</v>
      </c>
      <c r="C19">
        <v>0.2</v>
      </c>
      <c r="D19">
        <v>0.3</v>
      </c>
      <c r="E19">
        <v>4</v>
      </c>
      <c r="F19">
        <v>6</v>
      </c>
      <c r="G19" s="53">
        <f t="shared" si="5"/>
        <v>0</v>
      </c>
      <c r="H19" s="46">
        <f t="shared" si="6"/>
        <v>0</v>
      </c>
      <c r="BG19" s="21" t="s">
        <v>51</v>
      </c>
      <c r="BH19" s="15" t="s">
        <v>35</v>
      </c>
      <c r="BI19" s="15">
        <v>0.1</v>
      </c>
      <c r="BJ19" s="16">
        <f t="shared" si="4"/>
        <v>3.4999999999999996E-2</v>
      </c>
      <c r="BK19" s="12">
        <f>AH6</f>
        <v>100</v>
      </c>
      <c r="BL19" s="15" t="str">
        <f>AH7</f>
        <v>I</v>
      </c>
      <c r="BM19" s="1">
        <f>AH8</f>
        <v>0</v>
      </c>
      <c r="BN19" s="8">
        <f>BM19*BI19</f>
        <v>0</v>
      </c>
      <c r="BO19" s="1"/>
    </row>
    <row r="20" spans="1:71" s="17" customFormat="1" hidden="1" outlineLevel="1" x14ac:dyDescent="0.3">
      <c r="A20" t="s">
        <v>3</v>
      </c>
      <c r="B20" t="s">
        <v>98</v>
      </c>
      <c r="C20">
        <v>0.3</v>
      </c>
      <c r="D20">
        <v>0.4</v>
      </c>
      <c r="E20">
        <v>6</v>
      </c>
      <c r="F20">
        <v>8</v>
      </c>
      <c r="G20" s="53">
        <f t="shared" si="5"/>
        <v>0</v>
      </c>
      <c r="H20" s="46">
        <f t="shared" si="6"/>
        <v>0</v>
      </c>
      <c r="BG20" s="21"/>
      <c r="BH20" s="15"/>
      <c r="BI20" s="15"/>
      <c r="BJ20" s="16"/>
      <c r="BK20" s="12"/>
      <c r="BL20" s="15"/>
      <c r="BM20" s="1"/>
      <c r="BN20" s="25"/>
      <c r="BO20" s="1"/>
      <c r="BP20" s="15"/>
      <c r="BQ20" s="15"/>
    </row>
    <row r="21" spans="1:71" s="17" customFormat="1" hidden="1" outlineLevel="1" x14ac:dyDescent="0.3">
      <c r="A21" t="s">
        <v>3</v>
      </c>
      <c r="B21" t="s">
        <v>92</v>
      </c>
      <c r="C21">
        <v>0.4</v>
      </c>
      <c r="D21">
        <v>1</v>
      </c>
      <c r="E21">
        <v>8</v>
      </c>
      <c r="F21">
        <v>10</v>
      </c>
      <c r="G21" s="53">
        <f t="shared" si="5"/>
        <v>0</v>
      </c>
      <c r="H21" s="46">
        <f t="shared" si="6"/>
        <v>6.6666666666666661</v>
      </c>
      <c r="BG21" s="20" t="s">
        <v>72</v>
      </c>
      <c r="BI21" s="18">
        <v>0.35</v>
      </c>
      <c r="BJ21" s="18"/>
      <c r="BK21" s="14"/>
      <c r="BM21" s="1"/>
      <c r="BN21" s="24">
        <f>SUM(BN22:BN25)</f>
        <v>0</v>
      </c>
      <c r="BO21" s="17" t="str">
        <f>IF(BN21&lt;2,"I",IF(AND(BN21&gt;=2,BN21&lt;4),"F",IF(AND(BN21&gt;=4,BN21&lt;6),"R",IF(AND(BN21&gt;=6,BN21&lt;8),"B","MB"))))</f>
        <v>I</v>
      </c>
      <c r="BP21" s="15"/>
      <c r="BQ21" s="15"/>
      <c r="BR21" s="15"/>
      <c r="BS21" s="15"/>
    </row>
    <row r="22" spans="1:71" hidden="1" outlineLevel="1" x14ac:dyDescent="0.3">
      <c r="A22" t="s">
        <v>142</v>
      </c>
      <c r="B22" t="s">
        <v>141</v>
      </c>
      <c r="C22">
        <v>0</v>
      </c>
      <c r="D22">
        <v>3</v>
      </c>
      <c r="E22">
        <v>0</v>
      </c>
      <c r="F22">
        <v>2</v>
      </c>
      <c r="G22" s="54">
        <f>$D$6</f>
        <v>0</v>
      </c>
      <c r="H22" s="46">
        <f>(F22-E22)/(D22-C22)*(G22-C22)+E22</f>
        <v>0</v>
      </c>
      <c r="Q22" s="26"/>
      <c r="BG22" s="21" t="s">
        <v>60</v>
      </c>
      <c r="BH22" s="15" t="s">
        <v>36</v>
      </c>
      <c r="BI22" s="15">
        <v>0.5</v>
      </c>
      <c r="BJ22" s="16">
        <f>BI22*$BI$21</f>
        <v>0.17499999999999999</v>
      </c>
      <c r="BK22" s="13">
        <f>AI8</f>
        <v>0</v>
      </c>
      <c r="BL22" s="15" t="str">
        <f>AI9</f>
        <v>I</v>
      </c>
      <c r="BM22" s="1">
        <f>AI10</f>
        <v>0</v>
      </c>
      <c r="BN22" s="25">
        <f>BM22*BI22</f>
        <v>0</v>
      </c>
      <c r="BO22" s="1"/>
    </row>
    <row r="23" spans="1:71" hidden="1" outlineLevel="1" x14ac:dyDescent="0.3">
      <c r="A23" t="s">
        <v>142</v>
      </c>
      <c r="B23" t="s">
        <v>96</v>
      </c>
      <c r="C23">
        <v>3</v>
      </c>
      <c r="D23">
        <v>4</v>
      </c>
      <c r="E23">
        <v>2</v>
      </c>
      <c r="F23">
        <v>4</v>
      </c>
      <c r="G23" s="54">
        <f t="shared" ref="G23:G26" si="7">$D$6</f>
        <v>0</v>
      </c>
      <c r="H23" s="46">
        <f t="shared" ref="H23:H25" si="8">(F23-E23)/(D23-C23)*(G23-C23)+E23</f>
        <v>-4</v>
      </c>
      <c r="R23" s="26"/>
      <c r="BG23" s="21" t="s">
        <v>66</v>
      </c>
      <c r="BH23" s="15" t="s">
        <v>41</v>
      </c>
      <c r="BI23" s="15">
        <v>0.3</v>
      </c>
      <c r="BJ23" s="16">
        <f t="shared" ref="BJ23:BJ25" si="9">BI23*$BI$21</f>
        <v>0.105</v>
      </c>
      <c r="BK23" s="31">
        <f>AQ6</f>
        <v>0</v>
      </c>
      <c r="BL23" s="15" t="str">
        <f>AQ7</f>
        <v>I</v>
      </c>
      <c r="BM23" s="1">
        <f>AQ8</f>
        <v>0</v>
      </c>
      <c r="BN23" s="25">
        <f>BM23*BI23</f>
        <v>0</v>
      </c>
      <c r="BO23" s="1"/>
    </row>
    <row r="24" spans="1:71" hidden="1" outlineLevel="1" x14ac:dyDescent="0.3">
      <c r="A24" t="s">
        <v>142</v>
      </c>
      <c r="B24" t="s">
        <v>95</v>
      </c>
      <c r="C24">
        <v>4</v>
      </c>
      <c r="D24">
        <v>5.5</v>
      </c>
      <c r="E24">
        <v>4</v>
      </c>
      <c r="F24">
        <v>6</v>
      </c>
      <c r="G24" s="54">
        <f t="shared" si="7"/>
        <v>0</v>
      </c>
      <c r="H24" s="46">
        <f t="shared" si="8"/>
        <v>-1.333333333333333</v>
      </c>
      <c r="Q24" s="26"/>
      <c r="BG24" s="21" t="s">
        <v>61</v>
      </c>
      <c r="BH24" s="15" t="s">
        <v>94</v>
      </c>
      <c r="BI24" s="15">
        <v>0.2</v>
      </c>
      <c r="BJ24" s="16">
        <f t="shared" si="9"/>
        <v>6.9999999999999993E-2</v>
      </c>
      <c r="BK24" s="13">
        <f>AR14</f>
        <v>0</v>
      </c>
      <c r="BL24" s="15" t="str">
        <f>AR15</f>
        <v>I</v>
      </c>
      <c r="BM24" s="1">
        <f>AR16</f>
        <v>0</v>
      </c>
      <c r="BN24" s="25">
        <f>BM24*BI24</f>
        <v>0</v>
      </c>
      <c r="BO24" s="1"/>
    </row>
    <row r="25" spans="1:71" hidden="1" outlineLevel="1" x14ac:dyDescent="0.3">
      <c r="A25" t="s">
        <v>142</v>
      </c>
      <c r="B25" t="s">
        <v>98</v>
      </c>
      <c r="C25">
        <v>5.5</v>
      </c>
      <c r="D25">
        <v>7</v>
      </c>
      <c r="E25">
        <v>6</v>
      </c>
      <c r="F25">
        <v>8</v>
      </c>
      <c r="G25" s="54">
        <f t="shared" si="7"/>
        <v>0</v>
      </c>
      <c r="H25" s="46">
        <f t="shared" si="8"/>
        <v>-1.333333333333333</v>
      </c>
      <c r="Q25" s="26"/>
      <c r="BG25" s="21" t="s">
        <v>52</v>
      </c>
      <c r="BH25" s="15" t="s">
        <v>97</v>
      </c>
      <c r="BI25" s="15">
        <v>0</v>
      </c>
      <c r="BJ25" s="16">
        <f t="shared" si="9"/>
        <v>0</v>
      </c>
      <c r="BM25" s="1"/>
      <c r="BN25" s="25"/>
    </row>
    <row r="26" spans="1:71" hidden="1" outlineLevel="1" x14ac:dyDescent="0.3">
      <c r="A26" t="s">
        <v>142</v>
      </c>
      <c r="B26" t="s">
        <v>92</v>
      </c>
      <c r="C26">
        <v>7</v>
      </c>
      <c r="D26" s="48">
        <v>10</v>
      </c>
      <c r="E26">
        <v>8</v>
      </c>
      <c r="F26">
        <v>10</v>
      </c>
      <c r="G26" s="54">
        <f t="shared" si="7"/>
        <v>0</v>
      </c>
      <c r="H26" s="46">
        <f>IF(G26&lt;=D26,(F26-E26)/(D26-C26)*(G26-C26)+E26,10)</f>
        <v>3.3333333333333339</v>
      </c>
      <c r="BG26" s="21"/>
      <c r="BJ26" s="16"/>
      <c r="BM26" s="1"/>
      <c r="BN26" s="25"/>
    </row>
    <row r="27" spans="1:71" hidden="1" outlineLevel="1" x14ac:dyDescent="0.3">
      <c r="A27" t="s">
        <v>4</v>
      </c>
      <c r="B27" t="s">
        <v>141</v>
      </c>
      <c r="C27">
        <v>0</v>
      </c>
      <c r="D27">
        <v>0.4</v>
      </c>
      <c r="E27">
        <v>0</v>
      </c>
      <c r="F27">
        <v>2</v>
      </c>
      <c r="G27" s="52">
        <f>$E$6</f>
        <v>0</v>
      </c>
      <c r="H27" s="46">
        <f>(F27-E27)/(D27-C27)*(G27-C27)+E27</f>
        <v>0</v>
      </c>
      <c r="Q27" s="21"/>
      <c r="BG27" s="20" t="s">
        <v>53</v>
      </c>
      <c r="BH27" s="17"/>
      <c r="BI27" s="18">
        <v>0.1</v>
      </c>
      <c r="BJ27" s="18"/>
      <c r="BK27" s="17"/>
      <c r="BL27" s="17"/>
      <c r="BM27" s="1"/>
      <c r="BN27" s="24">
        <f>SUM(BN28:BN30)</f>
        <v>6.6000000000000005</v>
      </c>
      <c r="BO27" s="17" t="str">
        <f>IF(BN27&lt;2,"I",IF(AND(BN27&gt;=2,BN27&lt;4),"F",IF(AND(BN27&gt;=4,BN27&lt;6),"R",IF(AND(BN27&gt;=6,BN27&lt;8),"B","MB"))))</f>
        <v>B</v>
      </c>
    </row>
    <row r="28" spans="1:71" hidden="1" outlineLevel="1" x14ac:dyDescent="0.3">
      <c r="A28" t="s">
        <v>4</v>
      </c>
      <c r="B28" t="s">
        <v>96</v>
      </c>
      <c r="C28">
        <v>0.4</v>
      </c>
      <c r="D28">
        <v>0.6</v>
      </c>
      <c r="E28">
        <v>2</v>
      </c>
      <c r="F28">
        <v>4</v>
      </c>
      <c r="G28" s="52">
        <f t="shared" ref="G28:G36" si="10">$E$6</f>
        <v>0</v>
      </c>
      <c r="H28" s="46">
        <f t="shared" ref="H28:H31" si="11">(F28-E28)/(D28-C28)*(G28-C28)+E28</f>
        <v>-2.0000000000000009</v>
      </c>
      <c r="BG28" s="21" t="s">
        <v>54</v>
      </c>
      <c r="BH28" s="15" t="s">
        <v>50</v>
      </c>
      <c r="BI28" s="15">
        <v>0.6</v>
      </c>
      <c r="BJ28" s="16">
        <f>BI28*$BI$27</f>
        <v>0.06</v>
      </c>
      <c r="BL28" s="15" t="s">
        <v>98</v>
      </c>
      <c r="BM28" s="1">
        <f>IF(BL28="I",1,IF(BL28="F",3,IF(BL28="R",5,IF(BL28="B",7,9))))</f>
        <v>7</v>
      </c>
      <c r="BN28" s="25">
        <f>BM28*BI28</f>
        <v>4.2</v>
      </c>
      <c r="BR28" s="17"/>
      <c r="BS28" s="17"/>
    </row>
    <row r="29" spans="1:71" s="17" customFormat="1" hidden="1" outlineLevel="1" x14ac:dyDescent="0.3">
      <c r="A29" t="s">
        <v>4</v>
      </c>
      <c r="B29" t="s">
        <v>95</v>
      </c>
      <c r="C29">
        <v>0.6</v>
      </c>
      <c r="D29">
        <v>0.8</v>
      </c>
      <c r="E29">
        <v>4</v>
      </c>
      <c r="F29">
        <v>6</v>
      </c>
      <c r="G29" s="52">
        <f t="shared" si="10"/>
        <v>0</v>
      </c>
      <c r="H29" s="46">
        <f t="shared" si="11"/>
        <v>-1.9999999999999973</v>
      </c>
      <c r="BG29" s="21" t="s">
        <v>55</v>
      </c>
      <c r="BH29" s="15" t="s">
        <v>50</v>
      </c>
      <c r="BI29" s="15">
        <v>0.2</v>
      </c>
      <c r="BJ29" s="16">
        <f t="shared" ref="BJ29:BJ30" si="12">BI29*$BI$27</f>
        <v>2.0000000000000004E-2</v>
      </c>
      <c r="BK29" s="15"/>
      <c r="BL29" s="15" t="s">
        <v>98</v>
      </c>
      <c r="BM29" s="1">
        <f t="shared" ref="BM29:BM30" si="13">IF(BL29="I",1,IF(BL29="F",3,IF(BL29="R",5,IF(BL29="B",7,9))))</f>
        <v>7</v>
      </c>
      <c r="BN29" s="25">
        <f>BM29*BI29</f>
        <v>1.4000000000000001</v>
      </c>
      <c r="BO29" s="15"/>
      <c r="BP29" s="15"/>
      <c r="BQ29" s="15"/>
      <c r="BR29" s="15"/>
      <c r="BS29" s="15"/>
    </row>
    <row r="30" spans="1:71" hidden="1" outlineLevel="1" x14ac:dyDescent="0.3">
      <c r="A30" t="s">
        <v>4</v>
      </c>
      <c r="B30" t="s">
        <v>98</v>
      </c>
      <c r="C30">
        <v>0.8</v>
      </c>
      <c r="D30">
        <v>1</v>
      </c>
      <c r="E30">
        <v>6</v>
      </c>
      <c r="F30">
        <v>8</v>
      </c>
      <c r="G30" s="52">
        <f t="shared" si="10"/>
        <v>0</v>
      </c>
      <c r="H30" s="46">
        <f t="shared" si="11"/>
        <v>-2.0000000000000018</v>
      </c>
      <c r="BG30" s="21" t="s">
        <v>56</v>
      </c>
      <c r="BH30" s="15" t="s">
        <v>50</v>
      </c>
      <c r="BI30" s="15">
        <v>0.2</v>
      </c>
      <c r="BJ30" s="16">
        <f t="shared" si="12"/>
        <v>2.0000000000000004E-2</v>
      </c>
      <c r="BL30" s="15" t="s">
        <v>95</v>
      </c>
      <c r="BM30" s="1">
        <f t="shared" si="13"/>
        <v>5</v>
      </c>
      <c r="BN30" s="25">
        <f>BM30*BI30</f>
        <v>1</v>
      </c>
      <c r="BP30" s="17"/>
      <c r="BQ30" s="17"/>
    </row>
    <row r="31" spans="1:71" hidden="1" outlineLevel="1" x14ac:dyDescent="0.3">
      <c r="A31" t="s">
        <v>4</v>
      </c>
      <c r="B31" t="s">
        <v>92</v>
      </c>
      <c r="C31">
        <v>1</v>
      </c>
      <c r="D31">
        <v>2</v>
      </c>
      <c r="E31">
        <v>8</v>
      </c>
      <c r="F31">
        <v>10</v>
      </c>
      <c r="G31" s="52">
        <f t="shared" si="10"/>
        <v>0</v>
      </c>
      <c r="H31" s="46">
        <f t="shared" si="11"/>
        <v>6</v>
      </c>
      <c r="T31" s="27"/>
      <c r="BG31" s="20"/>
      <c r="BH31" s="17"/>
      <c r="BI31" s="17"/>
      <c r="BJ31" s="17"/>
      <c r="BK31" s="17"/>
      <c r="BL31" s="17"/>
      <c r="BM31" s="17"/>
      <c r="BN31" s="17"/>
      <c r="BO31" s="17"/>
      <c r="BP31" s="17"/>
      <c r="BQ31" s="17"/>
    </row>
    <row r="32" spans="1:71" hidden="1" outlineLevel="1" x14ac:dyDescent="0.3">
      <c r="A32" s="63" t="s">
        <v>4</v>
      </c>
      <c r="B32" s="63" t="s">
        <v>141</v>
      </c>
      <c r="C32" s="63">
        <v>4.5</v>
      </c>
      <c r="D32" s="48">
        <v>5</v>
      </c>
      <c r="E32" s="63">
        <v>0</v>
      </c>
      <c r="F32" s="63">
        <v>2</v>
      </c>
      <c r="G32" s="64">
        <f t="shared" si="10"/>
        <v>0</v>
      </c>
      <c r="H32" s="65">
        <f>IF(G32&lt;=D32,(F32-E32)/(D32-C32)*(D32-G32)+E32,0)</f>
        <v>20</v>
      </c>
      <c r="Q32" s="21"/>
      <c r="Y32" s="16"/>
      <c r="BG32" s="20"/>
      <c r="BH32" s="17"/>
      <c r="BI32" s="17"/>
      <c r="BJ32" s="17"/>
      <c r="BK32" s="17"/>
      <c r="BL32" s="17"/>
      <c r="BM32" s="17"/>
      <c r="BN32" s="9"/>
      <c r="BO32" s="17"/>
    </row>
    <row r="33" spans="1:71" hidden="1" outlineLevel="1" x14ac:dyDescent="0.3">
      <c r="A33" s="63" t="s">
        <v>4</v>
      </c>
      <c r="B33" s="63" t="s">
        <v>96</v>
      </c>
      <c r="C33" s="63">
        <v>4</v>
      </c>
      <c r="D33" s="63">
        <v>4.5</v>
      </c>
      <c r="E33" s="63">
        <v>2</v>
      </c>
      <c r="F33" s="63">
        <v>4</v>
      </c>
      <c r="G33" s="64">
        <f t="shared" si="10"/>
        <v>0</v>
      </c>
      <c r="H33" s="65">
        <f t="shared" ref="H33:H36" si="14">(F33-E33)/(D33-C33)*(D33-G33)+E33</f>
        <v>20</v>
      </c>
      <c r="Y33" s="16"/>
    </row>
    <row r="34" spans="1:71" hidden="1" outlineLevel="1" x14ac:dyDescent="0.3">
      <c r="A34" s="63" t="s">
        <v>4</v>
      </c>
      <c r="B34" s="63" t="s">
        <v>95</v>
      </c>
      <c r="C34" s="63">
        <v>3.5</v>
      </c>
      <c r="D34" s="63">
        <v>4</v>
      </c>
      <c r="E34" s="63">
        <v>4</v>
      </c>
      <c r="F34" s="63">
        <v>6</v>
      </c>
      <c r="G34" s="64">
        <f t="shared" si="10"/>
        <v>0</v>
      </c>
      <c r="H34" s="65">
        <f t="shared" si="14"/>
        <v>20</v>
      </c>
      <c r="Y34" s="16"/>
      <c r="BG34" s="17"/>
      <c r="BM34" s="17"/>
      <c r="BN34" s="17"/>
      <c r="BO34" s="17"/>
      <c r="BR34" s="17"/>
      <c r="BS34" s="17"/>
    </row>
    <row r="35" spans="1:71" s="17" customFormat="1" hidden="1" outlineLevel="1" x14ac:dyDescent="0.3">
      <c r="A35" s="63" t="s">
        <v>4</v>
      </c>
      <c r="B35" s="63" t="s">
        <v>98</v>
      </c>
      <c r="C35" s="63">
        <v>3</v>
      </c>
      <c r="D35" s="63">
        <v>3.5</v>
      </c>
      <c r="E35" s="63">
        <v>6</v>
      </c>
      <c r="F35" s="63">
        <v>8</v>
      </c>
      <c r="G35" s="64">
        <f t="shared" si="10"/>
        <v>0</v>
      </c>
      <c r="H35" s="65">
        <f t="shared" si="14"/>
        <v>20</v>
      </c>
      <c r="Y35" s="16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</row>
    <row r="36" spans="1:71" s="17" customFormat="1" hidden="1" outlineLevel="1" x14ac:dyDescent="0.3">
      <c r="A36" s="63" t="s">
        <v>4</v>
      </c>
      <c r="B36" s="63" t="s">
        <v>92</v>
      </c>
      <c r="C36" s="63">
        <v>2</v>
      </c>
      <c r="D36" s="63">
        <v>3</v>
      </c>
      <c r="E36" s="63">
        <v>8</v>
      </c>
      <c r="F36" s="63">
        <v>10</v>
      </c>
      <c r="G36" s="64">
        <f t="shared" si="10"/>
        <v>0</v>
      </c>
      <c r="H36" s="65">
        <f t="shared" si="14"/>
        <v>14</v>
      </c>
      <c r="Y36" s="16"/>
      <c r="BG36" s="33"/>
      <c r="BH36" s="15"/>
      <c r="BI36" s="15"/>
      <c r="BJ36" s="15"/>
      <c r="BK36" s="15"/>
      <c r="BL36" s="15"/>
      <c r="BM36" s="15"/>
      <c r="BN36" s="1"/>
      <c r="BO36" s="16"/>
      <c r="BR36" s="15"/>
      <c r="BS36" s="15"/>
    </row>
    <row r="37" spans="1:71" hidden="1" outlineLevel="1" x14ac:dyDescent="0.3">
      <c r="A37" t="s">
        <v>78</v>
      </c>
      <c r="B37" t="s">
        <v>141</v>
      </c>
      <c r="C37">
        <v>0</v>
      </c>
      <c r="D37">
        <v>1</v>
      </c>
      <c r="E37">
        <v>0</v>
      </c>
      <c r="F37">
        <v>2</v>
      </c>
      <c r="G37" s="51">
        <f>$F$6</f>
        <v>0</v>
      </c>
      <c r="H37" s="46">
        <f>(F37-E37)/(D37-C37)*(G37-C37)+E37</f>
        <v>0</v>
      </c>
      <c r="Y37" s="16"/>
    </row>
    <row r="38" spans="1:71" hidden="1" outlineLevel="1" x14ac:dyDescent="0.3">
      <c r="A38" t="s">
        <v>78</v>
      </c>
      <c r="B38" t="s">
        <v>96</v>
      </c>
      <c r="C38">
        <v>1</v>
      </c>
      <c r="D38">
        <v>2</v>
      </c>
      <c r="E38">
        <v>2</v>
      </c>
      <c r="F38">
        <v>4</v>
      </c>
      <c r="G38" s="51">
        <f t="shared" ref="G38:G41" si="15">$F$6</f>
        <v>0</v>
      </c>
      <c r="H38" s="46">
        <f t="shared" ref="H38:H41" si="16">(F38-E38)/(D38-C38)*(G38-C38)+E38</f>
        <v>0</v>
      </c>
      <c r="Y38" s="16"/>
    </row>
    <row r="39" spans="1:71" ht="17.100000000000001" hidden="1" customHeight="1" outlineLevel="1" x14ac:dyDescent="0.3">
      <c r="A39" t="s">
        <v>78</v>
      </c>
      <c r="B39" t="s">
        <v>95</v>
      </c>
      <c r="C39">
        <v>2</v>
      </c>
      <c r="D39">
        <v>3</v>
      </c>
      <c r="E39">
        <v>4</v>
      </c>
      <c r="F39">
        <v>6</v>
      </c>
      <c r="G39" s="51">
        <f t="shared" si="15"/>
        <v>0</v>
      </c>
      <c r="H39" s="46">
        <f t="shared" si="16"/>
        <v>0</v>
      </c>
      <c r="Q39" s="21"/>
      <c r="Y39" s="16"/>
    </row>
    <row r="40" spans="1:71" hidden="1" outlineLevel="1" x14ac:dyDescent="0.3">
      <c r="A40" t="s">
        <v>78</v>
      </c>
      <c r="B40" t="s">
        <v>98</v>
      </c>
      <c r="C40">
        <v>3</v>
      </c>
      <c r="D40">
        <v>4</v>
      </c>
      <c r="E40">
        <v>6</v>
      </c>
      <c r="F40">
        <v>8</v>
      </c>
      <c r="G40" s="51">
        <f t="shared" si="15"/>
        <v>0</v>
      </c>
      <c r="H40" s="46">
        <f t="shared" si="16"/>
        <v>0</v>
      </c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</row>
    <row r="41" spans="1:71" hidden="1" outlineLevel="1" x14ac:dyDescent="0.3">
      <c r="A41" t="s">
        <v>78</v>
      </c>
      <c r="B41" t="s">
        <v>92</v>
      </c>
      <c r="C41">
        <v>4</v>
      </c>
      <c r="D41">
        <v>5</v>
      </c>
      <c r="E41">
        <v>8</v>
      </c>
      <c r="F41">
        <v>10</v>
      </c>
      <c r="G41" s="51">
        <f t="shared" si="15"/>
        <v>0</v>
      </c>
      <c r="H41" s="46">
        <f t="shared" si="16"/>
        <v>0</v>
      </c>
    </row>
    <row r="42" spans="1:71" s="17" customFormat="1" hidden="1" outlineLevel="1" x14ac:dyDescent="0.3">
      <c r="A42" t="s">
        <v>6</v>
      </c>
      <c r="B42" t="s">
        <v>141</v>
      </c>
      <c r="C42">
        <v>0</v>
      </c>
      <c r="D42">
        <v>0.2</v>
      </c>
      <c r="E42">
        <v>0</v>
      </c>
      <c r="F42">
        <v>2</v>
      </c>
      <c r="G42" s="55">
        <f>$M$6</f>
        <v>0</v>
      </c>
      <c r="H42" s="46">
        <f>(F42-E42)/(D42-C42)*(G42-C42)+E42</f>
        <v>0</v>
      </c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</row>
    <row r="43" spans="1:71" hidden="1" outlineLevel="1" x14ac:dyDescent="0.3">
      <c r="A43" t="s">
        <v>6</v>
      </c>
      <c r="B43" t="s">
        <v>96</v>
      </c>
      <c r="C43">
        <v>0.2</v>
      </c>
      <c r="D43">
        <v>0.3</v>
      </c>
      <c r="E43">
        <v>2</v>
      </c>
      <c r="F43">
        <v>4</v>
      </c>
      <c r="G43" s="55">
        <f t="shared" ref="G43:G46" si="17">$M$6</f>
        <v>0</v>
      </c>
      <c r="H43" s="46">
        <f t="shared" ref="H43:H46" si="18">(F43-E43)/(D43-C43)*(G43-C43)+E43</f>
        <v>-2.0000000000000009</v>
      </c>
    </row>
    <row r="44" spans="1:71" hidden="1" outlineLevel="1" x14ac:dyDescent="0.3">
      <c r="A44" t="s">
        <v>6</v>
      </c>
      <c r="B44" t="s">
        <v>95</v>
      </c>
      <c r="C44">
        <v>0.3</v>
      </c>
      <c r="D44">
        <v>0.45</v>
      </c>
      <c r="E44">
        <v>4</v>
      </c>
      <c r="F44">
        <v>6</v>
      </c>
      <c r="G44" s="55">
        <f t="shared" si="17"/>
        <v>0</v>
      </c>
      <c r="H44" s="46">
        <f t="shared" si="18"/>
        <v>0</v>
      </c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</row>
    <row r="45" spans="1:71" hidden="1" outlineLevel="1" x14ac:dyDescent="0.3">
      <c r="A45" t="s">
        <v>6</v>
      </c>
      <c r="B45" t="s">
        <v>98</v>
      </c>
      <c r="C45">
        <v>0.45</v>
      </c>
      <c r="D45">
        <v>0.6</v>
      </c>
      <c r="E45">
        <v>6</v>
      </c>
      <c r="F45">
        <v>8</v>
      </c>
      <c r="G45" s="55">
        <f t="shared" si="17"/>
        <v>0</v>
      </c>
      <c r="H45" s="46">
        <f t="shared" si="18"/>
        <v>0</v>
      </c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</row>
    <row r="46" spans="1:71" s="17" customFormat="1" hidden="1" outlineLevel="1" x14ac:dyDescent="0.3">
      <c r="A46" t="s">
        <v>6</v>
      </c>
      <c r="B46" t="s">
        <v>92</v>
      </c>
      <c r="C46">
        <v>0.6</v>
      </c>
      <c r="D46">
        <v>1</v>
      </c>
      <c r="E46">
        <v>8</v>
      </c>
      <c r="F46">
        <v>10</v>
      </c>
      <c r="G46" s="55">
        <f t="shared" si="17"/>
        <v>0</v>
      </c>
      <c r="H46" s="46">
        <f t="shared" si="18"/>
        <v>5</v>
      </c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</row>
    <row r="47" spans="1:71" s="17" customFormat="1" hidden="1" outlineLevel="1" x14ac:dyDescent="0.3">
      <c r="A47" t="s">
        <v>8</v>
      </c>
      <c r="B47" t="s">
        <v>141</v>
      </c>
      <c r="C47">
        <v>0</v>
      </c>
      <c r="D47">
        <v>0.4</v>
      </c>
      <c r="E47">
        <v>0</v>
      </c>
      <c r="F47">
        <v>2</v>
      </c>
      <c r="G47" s="57">
        <f>$O$6</f>
        <v>0</v>
      </c>
      <c r="H47" s="46">
        <f>(F47-E47)/(D47-C47)*(G47-C47)+E47</f>
        <v>0</v>
      </c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</row>
    <row r="48" spans="1:71" hidden="1" outlineLevel="1" x14ac:dyDescent="0.3">
      <c r="A48" t="s">
        <v>8</v>
      </c>
      <c r="B48" t="s">
        <v>96</v>
      </c>
      <c r="C48">
        <v>0.4</v>
      </c>
      <c r="D48">
        <v>0.7</v>
      </c>
      <c r="E48">
        <v>2</v>
      </c>
      <c r="F48">
        <v>4</v>
      </c>
      <c r="G48" s="57">
        <f t="shared" ref="G48:G56" si="19">$O$6</f>
        <v>0</v>
      </c>
      <c r="H48" s="46">
        <f t="shared" ref="H48:H51" si="20">(F48-E48)/(D48-C48)*(G48-C48)+E48</f>
        <v>-0.66666666666666741</v>
      </c>
    </row>
    <row r="49" spans="1:8" hidden="1" outlineLevel="1" x14ac:dyDescent="0.3">
      <c r="A49" t="s">
        <v>8</v>
      </c>
      <c r="B49" t="s">
        <v>95</v>
      </c>
      <c r="C49">
        <v>0.7</v>
      </c>
      <c r="D49">
        <v>1</v>
      </c>
      <c r="E49">
        <v>4</v>
      </c>
      <c r="F49">
        <v>6</v>
      </c>
      <c r="G49" s="57">
        <f t="shared" si="19"/>
        <v>0</v>
      </c>
      <c r="H49" s="46">
        <f t="shared" si="20"/>
        <v>-0.66666666666666607</v>
      </c>
    </row>
    <row r="50" spans="1:8" hidden="1" outlineLevel="1" x14ac:dyDescent="0.3">
      <c r="A50" t="s">
        <v>8</v>
      </c>
      <c r="B50" t="s">
        <v>98</v>
      </c>
      <c r="C50">
        <v>1</v>
      </c>
      <c r="D50">
        <v>1.5</v>
      </c>
      <c r="E50">
        <v>6</v>
      </c>
      <c r="F50">
        <v>8</v>
      </c>
      <c r="G50" s="57">
        <f t="shared" si="19"/>
        <v>0</v>
      </c>
      <c r="H50" s="46">
        <f t="shared" si="20"/>
        <v>2</v>
      </c>
    </row>
    <row r="51" spans="1:8" hidden="1" outlineLevel="1" x14ac:dyDescent="0.3">
      <c r="A51" t="s">
        <v>8</v>
      </c>
      <c r="B51" t="s">
        <v>92</v>
      </c>
      <c r="C51">
        <v>1.5</v>
      </c>
      <c r="D51">
        <f>1.5+(5-1.5)/2</f>
        <v>3.25</v>
      </c>
      <c r="E51">
        <v>8</v>
      </c>
      <c r="F51">
        <v>10</v>
      </c>
      <c r="G51" s="57">
        <f t="shared" si="19"/>
        <v>0</v>
      </c>
      <c r="H51" s="46">
        <f t="shared" si="20"/>
        <v>6.2857142857142856</v>
      </c>
    </row>
    <row r="52" spans="1:8" hidden="1" outlineLevel="1" x14ac:dyDescent="0.3">
      <c r="A52" s="63" t="s">
        <v>8</v>
      </c>
      <c r="B52" s="63" t="s">
        <v>141</v>
      </c>
      <c r="C52" s="63">
        <v>10</v>
      </c>
      <c r="D52" s="48">
        <v>12</v>
      </c>
      <c r="E52" s="63">
        <v>0</v>
      </c>
      <c r="F52" s="63">
        <v>2</v>
      </c>
      <c r="G52" s="66">
        <f t="shared" si="19"/>
        <v>0</v>
      </c>
      <c r="H52" s="65">
        <f>IF(G52&lt;=D52,(F52-E52)/(D52-C52)*(D52-G52)+E52,0)</f>
        <v>12</v>
      </c>
    </row>
    <row r="53" spans="1:8" hidden="1" outlineLevel="1" x14ac:dyDescent="0.3">
      <c r="A53" s="63" t="s">
        <v>8</v>
      </c>
      <c r="B53" s="63" t="s">
        <v>96</v>
      </c>
      <c r="C53" s="63">
        <v>8</v>
      </c>
      <c r="D53" s="63">
        <v>10</v>
      </c>
      <c r="E53" s="63">
        <v>2</v>
      </c>
      <c r="F53" s="63">
        <v>4</v>
      </c>
      <c r="G53" s="66">
        <f t="shared" si="19"/>
        <v>0</v>
      </c>
      <c r="H53" s="65">
        <f t="shared" ref="H53:H56" si="21">(F53-E53)/(D53-C53)*(D53-G53)+E53</f>
        <v>12</v>
      </c>
    </row>
    <row r="54" spans="1:8" hidden="1" outlineLevel="1" x14ac:dyDescent="0.3">
      <c r="A54" s="63" t="s">
        <v>8</v>
      </c>
      <c r="B54" s="63" t="s">
        <v>95</v>
      </c>
      <c r="C54" s="63">
        <v>6</v>
      </c>
      <c r="D54" s="63">
        <v>8</v>
      </c>
      <c r="E54" s="63">
        <v>4</v>
      </c>
      <c r="F54" s="63">
        <v>6</v>
      </c>
      <c r="G54" s="66">
        <f t="shared" si="19"/>
        <v>0</v>
      </c>
      <c r="H54" s="65">
        <f t="shared" si="21"/>
        <v>12</v>
      </c>
    </row>
    <row r="55" spans="1:8" hidden="1" outlineLevel="1" x14ac:dyDescent="0.3">
      <c r="A55" s="63" t="s">
        <v>8</v>
      </c>
      <c r="B55" s="63" t="s">
        <v>98</v>
      </c>
      <c r="C55" s="63">
        <v>5</v>
      </c>
      <c r="D55" s="63">
        <v>6</v>
      </c>
      <c r="E55" s="63">
        <v>6</v>
      </c>
      <c r="F55" s="63">
        <v>8</v>
      </c>
      <c r="G55" s="66">
        <f t="shared" si="19"/>
        <v>0</v>
      </c>
      <c r="H55" s="65">
        <f t="shared" si="21"/>
        <v>18</v>
      </c>
    </row>
    <row r="56" spans="1:8" hidden="1" outlineLevel="1" x14ac:dyDescent="0.3">
      <c r="A56" s="63" t="s">
        <v>8</v>
      </c>
      <c r="B56" s="63" t="s">
        <v>92</v>
      </c>
      <c r="C56" s="63">
        <v>3.25</v>
      </c>
      <c r="D56" s="63">
        <v>5</v>
      </c>
      <c r="E56" s="63">
        <v>8</v>
      </c>
      <c r="F56" s="63">
        <v>10</v>
      </c>
      <c r="G56" s="66">
        <f t="shared" si="19"/>
        <v>0</v>
      </c>
      <c r="H56" s="65">
        <f t="shared" si="21"/>
        <v>13.714285714285714</v>
      </c>
    </row>
    <row r="57" spans="1:8" hidden="1" outlineLevel="1" x14ac:dyDescent="0.3">
      <c r="A57" s="63" t="s">
        <v>9</v>
      </c>
      <c r="B57" s="63" t="s">
        <v>141</v>
      </c>
      <c r="C57" s="63">
        <v>0.45</v>
      </c>
      <c r="D57" s="63">
        <v>1</v>
      </c>
      <c r="E57" s="63">
        <v>0</v>
      </c>
      <c r="F57" s="63">
        <v>2</v>
      </c>
      <c r="G57" s="67">
        <f>$O$11</f>
        <v>1</v>
      </c>
      <c r="H57" s="65">
        <f>(F57-E57)/(D57-C57)*(D57-G57)+E57</f>
        <v>0</v>
      </c>
    </row>
    <row r="58" spans="1:8" hidden="1" outlineLevel="1" x14ac:dyDescent="0.3">
      <c r="A58" s="63" t="s">
        <v>9</v>
      </c>
      <c r="B58" s="63" t="s">
        <v>96</v>
      </c>
      <c r="C58" s="63">
        <v>0.35</v>
      </c>
      <c r="D58" s="63">
        <v>0.45</v>
      </c>
      <c r="E58" s="63">
        <v>2</v>
      </c>
      <c r="F58" s="63">
        <v>4</v>
      </c>
      <c r="G58" s="67">
        <f>$O$11</f>
        <v>1</v>
      </c>
      <c r="H58" s="65">
        <f t="shared" ref="H58:H61" si="22">(F58-E58)/(D58-C58)*(D58-G58)+E58</f>
        <v>-8.9999999999999964</v>
      </c>
    </row>
    <row r="59" spans="1:8" hidden="1" outlineLevel="1" x14ac:dyDescent="0.3">
      <c r="A59" s="63" t="s">
        <v>9</v>
      </c>
      <c r="B59" s="63" t="s">
        <v>95</v>
      </c>
      <c r="C59" s="63">
        <v>0.25</v>
      </c>
      <c r="D59" s="63">
        <v>0.35</v>
      </c>
      <c r="E59" s="63">
        <v>4</v>
      </c>
      <c r="F59" s="63">
        <v>6</v>
      </c>
      <c r="G59" s="67">
        <f>$O$11</f>
        <v>1</v>
      </c>
      <c r="H59" s="65">
        <f t="shared" si="22"/>
        <v>-9.0000000000000036</v>
      </c>
    </row>
    <row r="60" spans="1:8" hidden="1" outlineLevel="1" x14ac:dyDescent="0.3">
      <c r="A60" s="63" t="s">
        <v>9</v>
      </c>
      <c r="B60" s="63" t="s">
        <v>98</v>
      </c>
      <c r="C60" s="63">
        <v>0.15</v>
      </c>
      <c r="D60" s="63">
        <v>0.25</v>
      </c>
      <c r="E60" s="63">
        <v>6</v>
      </c>
      <c r="F60" s="63">
        <v>8</v>
      </c>
      <c r="G60" s="67">
        <f>$O$11</f>
        <v>1</v>
      </c>
      <c r="H60" s="65">
        <f t="shared" si="22"/>
        <v>-9</v>
      </c>
    </row>
    <row r="61" spans="1:8" hidden="1" outlineLevel="1" x14ac:dyDescent="0.3">
      <c r="A61" s="63" t="s">
        <v>9</v>
      </c>
      <c r="B61" s="63" t="s">
        <v>92</v>
      </c>
      <c r="C61" s="63">
        <v>0</v>
      </c>
      <c r="D61" s="63">
        <v>0.15</v>
      </c>
      <c r="E61" s="63">
        <v>8</v>
      </c>
      <c r="F61" s="63">
        <v>10</v>
      </c>
      <c r="G61" s="67">
        <f>$O$11</f>
        <v>1</v>
      </c>
      <c r="H61" s="65">
        <f t="shared" si="22"/>
        <v>-3.3333333333333339</v>
      </c>
    </row>
    <row r="62" spans="1:8" hidden="1" outlineLevel="1" x14ac:dyDescent="0.3">
      <c r="A62" s="47" t="s">
        <v>143</v>
      </c>
      <c r="B62" t="s">
        <v>141</v>
      </c>
      <c r="C62">
        <v>0</v>
      </c>
      <c r="D62">
        <v>0.2</v>
      </c>
      <c r="E62">
        <v>0</v>
      </c>
      <c r="F62">
        <v>2</v>
      </c>
      <c r="G62" s="57">
        <f>$P$12</f>
        <v>0</v>
      </c>
      <c r="H62" s="46">
        <f>(F62-E62)/(D62-C62)*(G62-C62)+E62</f>
        <v>0</v>
      </c>
    </row>
    <row r="63" spans="1:8" hidden="1" outlineLevel="1" x14ac:dyDescent="0.3">
      <c r="A63" s="47" t="s">
        <v>143</v>
      </c>
      <c r="B63" t="s">
        <v>96</v>
      </c>
      <c r="C63">
        <v>0.2</v>
      </c>
      <c r="D63">
        <v>0.3</v>
      </c>
      <c r="E63">
        <v>2</v>
      </c>
      <c r="F63">
        <v>4</v>
      </c>
      <c r="G63" s="57">
        <f t="shared" ref="G63:G66" si="23">$P$12</f>
        <v>0</v>
      </c>
      <c r="H63" s="46">
        <f t="shared" ref="H63:H65" si="24">(F63-E63)/(D63-C63)*(G63-C63)+E63</f>
        <v>-2.0000000000000009</v>
      </c>
    </row>
    <row r="64" spans="1:8" hidden="1" outlineLevel="1" x14ac:dyDescent="0.3">
      <c r="A64" s="47" t="s">
        <v>143</v>
      </c>
      <c r="B64" t="s">
        <v>95</v>
      </c>
      <c r="C64">
        <v>0.3</v>
      </c>
      <c r="D64">
        <v>0.4</v>
      </c>
      <c r="E64">
        <v>4</v>
      </c>
      <c r="F64">
        <v>6</v>
      </c>
      <c r="G64" s="57">
        <f t="shared" si="23"/>
        <v>0</v>
      </c>
      <c r="H64" s="46">
        <f t="shared" si="24"/>
        <v>-1.9999999999999973</v>
      </c>
    </row>
    <row r="65" spans="1:8" hidden="1" outlineLevel="1" x14ac:dyDescent="0.3">
      <c r="A65" s="47" t="s">
        <v>143</v>
      </c>
      <c r="B65" t="s">
        <v>98</v>
      </c>
      <c r="C65">
        <v>0.4</v>
      </c>
      <c r="D65">
        <v>0.5</v>
      </c>
      <c r="E65">
        <v>6</v>
      </c>
      <c r="F65">
        <v>8</v>
      </c>
      <c r="G65" s="57">
        <f t="shared" si="23"/>
        <v>0</v>
      </c>
      <c r="H65" s="46">
        <f t="shared" si="24"/>
        <v>-2.0000000000000018</v>
      </c>
    </row>
    <row r="66" spans="1:8" hidden="1" outlineLevel="1" x14ac:dyDescent="0.3">
      <c r="A66" s="47" t="s">
        <v>143</v>
      </c>
      <c r="B66" t="s">
        <v>92</v>
      </c>
      <c r="C66">
        <v>0.5</v>
      </c>
      <c r="D66" s="48">
        <v>0.6</v>
      </c>
      <c r="E66">
        <v>8</v>
      </c>
      <c r="F66">
        <v>10</v>
      </c>
      <c r="G66" s="57">
        <f t="shared" si="23"/>
        <v>0</v>
      </c>
      <c r="H66" s="46">
        <f>IF(G66&lt;=D66,(F66-E66)/(D66-C66)*(G66-C66)+E66,10)</f>
        <v>-2.0000000000000018</v>
      </c>
    </row>
    <row r="67" spans="1:8" hidden="1" outlineLevel="1" x14ac:dyDescent="0.3">
      <c r="A67" s="63" t="s">
        <v>144</v>
      </c>
      <c r="B67" s="63" t="s">
        <v>141</v>
      </c>
      <c r="C67" s="63">
        <v>36</v>
      </c>
      <c r="D67" s="48">
        <v>38</v>
      </c>
      <c r="E67" s="63">
        <v>0</v>
      </c>
      <c r="F67" s="63">
        <v>2</v>
      </c>
      <c r="G67" s="63">
        <f>$AH$6</f>
        <v>100</v>
      </c>
      <c r="H67" s="65">
        <f>IF(G67&lt;=D67,(F67-E67)/(D67-C67)*(D67-G67)+E67,0)</f>
        <v>0</v>
      </c>
    </row>
    <row r="68" spans="1:8" hidden="1" outlineLevel="1" x14ac:dyDescent="0.3">
      <c r="A68" s="63" t="s">
        <v>144</v>
      </c>
      <c r="B68" s="63" t="s">
        <v>96</v>
      </c>
      <c r="C68" s="63">
        <v>34</v>
      </c>
      <c r="D68" s="63">
        <v>36</v>
      </c>
      <c r="E68" s="63">
        <v>2</v>
      </c>
      <c r="F68" s="63">
        <v>4</v>
      </c>
      <c r="G68" s="63">
        <f t="shared" ref="G68:G71" si="25">$AH$6</f>
        <v>100</v>
      </c>
      <c r="H68" s="65">
        <f t="shared" ref="H68:H71" si="26">(F68-E68)/(D68-C68)*(D68-G68)+E68</f>
        <v>-62</v>
      </c>
    </row>
    <row r="69" spans="1:8" hidden="1" outlineLevel="1" x14ac:dyDescent="0.3">
      <c r="A69" s="63" t="s">
        <v>144</v>
      </c>
      <c r="B69" s="63" t="s">
        <v>95</v>
      </c>
      <c r="C69" s="63">
        <v>32</v>
      </c>
      <c r="D69" s="63">
        <v>34</v>
      </c>
      <c r="E69" s="63">
        <v>4</v>
      </c>
      <c r="F69" s="63">
        <v>6</v>
      </c>
      <c r="G69" s="63">
        <f t="shared" si="25"/>
        <v>100</v>
      </c>
      <c r="H69" s="65">
        <f t="shared" si="26"/>
        <v>-62</v>
      </c>
    </row>
    <row r="70" spans="1:8" hidden="1" outlineLevel="1" x14ac:dyDescent="0.3">
      <c r="A70" s="63" t="s">
        <v>144</v>
      </c>
      <c r="B70" s="63" t="s">
        <v>98</v>
      </c>
      <c r="C70" s="63">
        <v>30</v>
      </c>
      <c r="D70" s="63">
        <v>32</v>
      </c>
      <c r="E70" s="63">
        <v>6</v>
      </c>
      <c r="F70" s="63">
        <v>8</v>
      </c>
      <c r="G70" s="63">
        <f t="shared" si="25"/>
        <v>100</v>
      </c>
      <c r="H70" s="65">
        <f t="shared" si="26"/>
        <v>-62</v>
      </c>
    </row>
    <row r="71" spans="1:8" hidden="1" outlineLevel="1" x14ac:dyDescent="0.3">
      <c r="A71" s="63" t="s">
        <v>144</v>
      </c>
      <c r="B71" s="63" t="s">
        <v>92</v>
      </c>
      <c r="C71" s="63">
        <v>0</v>
      </c>
      <c r="D71" s="63">
        <v>30</v>
      </c>
      <c r="E71" s="63">
        <v>8</v>
      </c>
      <c r="F71" s="63">
        <v>10</v>
      </c>
      <c r="G71" s="63">
        <f t="shared" si="25"/>
        <v>100</v>
      </c>
      <c r="H71" s="65">
        <f t="shared" si="26"/>
        <v>3.333333333333333</v>
      </c>
    </row>
    <row r="72" spans="1:8" hidden="1" outlineLevel="1" x14ac:dyDescent="0.3">
      <c r="A72" s="47" t="s">
        <v>36</v>
      </c>
      <c r="B72" t="s">
        <v>141</v>
      </c>
      <c r="C72">
        <v>0</v>
      </c>
      <c r="D72">
        <v>0.3</v>
      </c>
      <c r="E72">
        <v>0</v>
      </c>
      <c r="F72">
        <v>2</v>
      </c>
      <c r="G72" s="57">
        <f>AI$8</f>
        <v>0</v>
      </c>
      <c r="H72" s="46">
        <f>(F72-E72)/(D72-C72)*(G72-C72)+E72</f>
        <v>0</v>
      </c>
    </row>
    <row r="73" spans="1:8" hidden="1" outlineLevel="1" x14ac:dyDescent="0.3">
      <c r="A73" s="47" t="s">
        <v>36</v>
      </c>
      <c r="B73" t="s">
        <v>96</v>
      </c>
      <c r="C73">
        <v>0.3</v>
      </c>
      <c r="D73">
        <v>0.45</v>
      </c>
      <c r="E73">
        <v>2</v>
      </c>
      <c r="F73">
        <v>4</v>
      </c>
      <c r="G73" s="57">
        <f t="shared" ref="G73:G76" si="27">AI$8</f>
        <v>0</v>
      </c>
      <c r="H73" s="46">
        <f t="shared" ref="H73:H75" si="28">(F73-E73)/(D73-C73)*(G73-C73)+E73</f>
        <v>-1.9999999999999996</v>
      </c>
    </row>
    <row r="74" spans="1:8" hidden="1" outlineLevel="1" x14ac:dyDescent="0.3">
      <c r="A74" s="47" t="s">
        <v>36</v>
      </c>
      <c r="B74" t="s">
        <v>95</v>
      </c>
      <c r="C74">
        <v>0.45</v>
      </c>
      <c r="D74">
        <v>0.65</v>
      </c>
      <c r="E74">
        <v>4</v>
      </c>
      <c r="F74">
        <v>6</v>
      </c>
      <c r="G74" s="57">
        <f t="shared" si="27"/>
        <v>0</v>
      </c>
      <c r="H74" s="46">
        <f t="shared" si="28"/>
        <v>-0.5</v>
      </c>
    </row>
    <row r="75" spans="1:8" hidden="1" outlineLevel="1" x14ac:dyDescent="0.3">
      <c r="A75" s="47" t="s">
        <v>36</v>
      </c>
      <c r="B75" t="s">
        <v>98</v>
      </c>
      <c r="C75">
        <v>0.65</v>
      </c>
      <c r="D75">
        <v>0.95</v>
      </c>
      <c r="E75">
        <v>6</v>
      </c>
      <c r="F75">
        <v>8</v>
      </c>
      <c r="G75" s="57">
        <f t="shared" si="27"/>
        <v>0</v>
      </c>
      <c r="H75" s="46">
        <f t="shared" si="28"/>
        <v>1.6666666666666661</v>
      </c>
    </row>
    <row r="76" spans="1:8" hidden="1" outlineLevel="1" x14ac:dyDescent="0.3">
      <c r="A76" s="47" t="s">
        <v>36</v>
      </c>
      <c r="B76" t="s">
        <v>92</v>
      </c>
      <c r="C76">
        <v>0.95</v>
      </c>
      <c r="D76" s="48">
        <v>1.25</v>
      </c>
      <c r="E76">
        <v>8</v>
      </c>
      <c r="F76">
        <v>10</v>
      </c>
      <c r="G76" s="57">
        <f t="shared" si="27"/>
        <v>0</v>
      </c>
      <c r="H76" s="46">
        <f>IF(G76&lt;=D76,(F76-E76)/(D76-C76)*(G76-C76)+E76,10)</f>
        <v>1.6666666666666679</v>
      </c>
    </row>
    <row r="77" spans="1:8" hidden="1" outlineLevel="1" x14ac:dyDescent="0.3">
      <c r="A77" s="47" t="s">
        <v>41</v>
      </c>
      <c r="B77" t="s">
        <v>141</v>
      </c>
      <c r="C77">
        <v>0</v>
      </c>
      <c r="D77">
        <v>0.35</v>
      </c>
      <c r="E77">
        <v>0</v>
      </c>
      <c r="F77">
        <v>2</v>
      </c>
      <c r="G77" s="55">
        <f>$AQ$6</f>
        <v>0</v>
      </c>
      <c r="H77" s="46">
        <f>(F77-E77)/(D77-C77)*(G77-C77)+E77</f>
        <v>0</v>
      </c>
    </row>
    <row r="78" spans="1:8" hidden="1" outlineLevel="1" x14ac:dyDescent="0.3">
      <c r="A78" s="47" t="s">
        <v>41</v>
      </c>
      <c r="B78" t="s">
        <v>96</v>
      </c>
      <c r="C78">
        <v>0.35</v>
      </c>
      <c r="D78">
        <v>0.55000000000000004</v>
      </c>
      <c r="E78">
        <v>2</v>
      </c>
      <c r="F78">
        <v>4</v>
      </c>
      <c r="G78" s="55">
        <f t="shared" ref="G78:G81" si="29">$AQ$6</f>
        <v>0</v>
      </c>
      <c r="H78" s="46">
        <f t="shared" ref="H78:H81" si="30">(F78-E78)/(D78-C78)*(G78-C78)+E78</f>
        <v>-1.4999999999999987</v>
      </c>
    </row>
    <row r="79" spans="1:8" hidden="1" outlineLevel="1" x14ac:dyDescent="0.3">
      <c r="A79" s="47" t="s">
        <v>41</v>
      </c>
      <c r="B79" t="s">
        <v>95</v>
      </c>
      <c r="C79">
        <v>0.55000000000000004</v>
      </c>
      <c r="D79">
        <v>0.7</v>
      </c>
      <c r="E79">
        <v>4</v>
      </c>
      <c r="F79">
        <v>6</v>
      </c>
      <c r="G79" s="55">
        <f t="shared" si="29"/>
        <v>0</v>
      </c>
      <c r="H79" s="46">
        <f t="shared" si="30"/>
        <v>-3.3333333333333384</v>
      </c>
    </row>
    <row r="80" spans="1:8" hidden="1" outlineLevel="1" x14ac:dyDescent="0.3">
      <c r="A80" s="47" t="s">
        <v>41</v>
      </c>
      <c r="B80" t="s">
        <v>98</v>
      </c>
      <c r="C80">
        <v>0.7</v>
      </c>
      <c r="D80">
        <v>0.85</v>
      </c>
      <c r="E80">
        <v>6</v>
      </c>
      <c r="F80">
        <v>8</v>
      </c>
      <c r="G80" s="55">
        <f t="shared" si="29"/>
        <v>0</v>
      </c>
      <c r="H80" s="46">
        <f t="shared" si="30"/>
        <v>-3.3333333333333321</v>
      </c>
    </row>
    <row r="81" spans="1:8" hidden="1" outlineLevel="1" x14ac:dyDescent="0.3">
      <c r="A81" s="47" t="s">
        <v>41</v>
      </c>
      <c r="B81" t="s">
        <v>92</v>
      </c>
      <c r="C81">
        <v>0.85</v>
      </c>
      <c r="D81" s="47">
        <v>1</v>
      </c>
      <c r="E81">
        <v>8</v>
      </c>
      <c r="F81">
        <v>10</v>
      </c>
      <c r="G81" s="55">
        <f t="shared" si="29"/>
        <v>0</v>
      </c>
      <c r="H81" s="46">
        <f t="shared" si="30"/>
        <v>-3.3333333333333321</v>
      </c>
    </row>
    <row r="82" spans="1:8" hidden="1" outlineLevel="1" x14ac:dyDescent="0.3">
      <c r="A82" s="47" t="s">
        <v>145</v>
      </c>
      <c r="B82" t="s">
        <v>141</v>
      </c>
      <c r="C82">
        <v>0</v>
      </c>
      <c r="D82">
        <v>0.1</v>
      </c>
      <c r="E82">
        <v>0</v>
      </c>
      <c r="F82">
        <v>2</v>
      </c>
      <c r="G82" s="57">
        <f>$AR$14</f>
        <v>0</v>
      </c>
      <c r="H82" s="46">
        <f>(F82-E82)/(D82-C82)*(G82-C82)+E82</f>
        <v>0</v>
      </c>
    </row>
    <row r="83" spans="1:8" hidden="1" outlineLevel="1" x14ac:dyDescent="0.3">
      <c r="A83" s="47" t="s">
        <v>145</v>
      </c>
      <c r="B83" t="s">
        <v>96</v>
      </c>
      <c r="C83">
        <v>0.1</v>
      </c>
      <c r="D83">
        <v>0.15</v>
      </c>
      <c r="E83">
        <v>2</v>
      </c>
      <c r="F83">
        <v>4</v>
      </c>
      <c r="G83" s="57">
        <f t="shared" ref="G83:G86" si="31">$AR$14</f>
        <v>0</v>
      </c>
      <c r="H83" s="46">
        <f t="shared" ref="H83:H85" si="32">(F83-E83)/(D83-C83)*(G83-C83)+E83</f>
        <v>-2.0000000000000009</v>
      </c>
    </row>
    <row r="84" spans="1:8" hidden="1" outlineLevel="1" x14ac:dyDescent="0.3">
      <c r="A84" s="47" t="s">
        <v>145</v>
      </c>
      <c r="B84" t="s">
        <v>95</v>
      </c>
      <c r="C84">
        <v>0.15</v>
      </c>
      <c r="D84">
        <v>0.2</v>
      </c>
      <c r="E84">
        <v>4</v>
      </c>
      <c r="F84">
        <v>6</v>
      </c>
      <c r="G84" s="57">
        <f t="shared" si="31"/>
        <v>0</v>
      </c>
      <c r="H84" s="46">
        <f t="shared" si="32"/>
        <v>-1.9999999999999973</v>
      </c>
    </row>
    <row r="85" spans="1:8" hidden="1" outlineLevel="1" x14ac:dyDescent="0.3">
      <c r="A85" s="47" t="s">
        <v>145</v>
      </c>
      <c r="B85" t="s">
        <v>98</v>
      </c>
      <c r="C85">
        <v>0.2</v>
      </c>
      <c r="D85">
        <v>0.25</v>
      </c>
      <c r="E85">
        <v>6</v>
      </c>
      <c r="F85">
        <v>8</v>
      </c>
      <c r="G85" s="57">
        <f t="shared" si="31"/>
        <v>0</v>
      </c>
      <c r="H85" s="46">
        <f t="shared" si="32"/>
        <v>-2.0000000000000018</v>
      </c>
    </row>
    <row r="86" spans="1:8" hidden="1" outlineLevel="1" x14ac:dyDescent="0.3">
      <c r="A86" s="47" t="s">
        <v>145</v>
      </c>
      <c r="B86" t="s">
        <v>92</v>
      </c>
      <c r="C86">
        <v>0.25</v>
      </c>
      <c r="D86" s="48">
        <v>0.3</v>
      </c>
      <c r="E86">
        <v>8</v>
      </c>
      <c r="F86">
        <v>10</v>
      </c>
      <c r="G86" s="57">
        <f t="shared" si="31"/>
        <v>0</v>
      </c>
      <c r="H86" s="46">
        <f>IF(G86&lt;=D86,(F86-E86)/(D86-C86)*(G86-C86)+E86,10)</f>
        <v>-2.0000000000000018</v>
      </c>
    </row>
    <row r="87" spans="1:8" collapsed="1" x14ac:dyDescent="0.3"/>
  </sheetData>
  <protectedRanges>
    <protectedRange sqref="A3:B3 O3 Q3:AH3 AS3:BC3 F3:L3 BE3" name="Preencher"/>
    <protectedRange sqref="C3:E3" name="Preencher_1"/>
    <protectedRange sqref="AJ3:AP3" name="Preencher_2"/>
    <protectedRange sqref="BD3" name="Preencher_3"/>
  </protectedRanges>
  <conditionalFormatting sqref="B22">
    <cfRule type="containsText" dxfId="355" priority="96" operator="containsText" text="MB">
      <formula>NOT(ISERROR(SEARCH("MB",B22)))</formula>
    </cfRule>
    <cfRule type="containsText" dxfId="354" priority="97" operator="containsText" text="B">
      <formula>NOT(ISERROR(SEARCH("B",B22)))</formula>
    </cfRule>
    <cfRule type="containsText" dxfId="353" priority="98" operator="containsText" text="R">
      <formula>NOT(ISERROR(SEARCH("R",B22)))</formula>
    </cfRule>
    <cfRule type="containsText" dxfId="352" priority="99" operator="containsText" text="F">
      <formula>NOT(ISERROR(SEARCH("F",B22)))</formula>
    </cfRule>
    <cfRule type="containsText" dxfId="351" priority="100" operator="containsText" text="I">
      <formula>NOT(ISERROR(SEARCH("I",B22)))</formula>
    </cfRule>
  </conditionalFormatting>
  <conditionalFormatting sqref="C7">
    <cfRule type="containsText" dxfId="350" priority="90" operator="containsText" text="MB">
      <formula>NOT(ISERROR(SEARCH("MB",C7)))</formula>
    </cfRule>
    <cfRule type="containsText" dxfId="349" priority="91" operator="containsText" text="B">
      <formula>NOT(ISERROR(SEARCH("B",C7)))</formula>
    </cfRule>
    <cfRule type="containsText" dxfId="348" priority="92" operator="containsText" text="R">
      <formula>NOT(ISERROR(SEARCH("R",C7)))</formula>
    </cfRule>
    <cfRule type="containsText" dxfId="347" priority="93" operator="containsText" text="F">
      <formula>NOT(ISERROR(SEARCH("F",C7)))</formula>
    </cfRule>
    <cfRule type="containsText" dxfId="346" priority="94" operator="containsText" text="I">
      <formula>NOT(ISERROR(SEARCH("I",C7)))</formula>
    </cfRule>
  </conditionalFormatting>
  <conditionalFormatting sqref="AI9">
    <cfRule type="containsText" dxfId="345" priority="85" operator="containsText" text="MB">
      <formula>NOT(ISERROR(SEARCH("MB",AI9)))</formula>
    </cfRule>
    <cfRule type="containsText" dxfId="344" priority="86" operator="containsText" text="B">
      <formula>NOT(ISERROR(SEARCH("B",AI9)))</formula>
    </cfRule>
    <cfRule type="containsText" dxfId="343" priority="87" operator="containsText" text="R">
      <formula>NOT(ISERROR(SEARCH("R",AI9)))</formula>
    </cfRule>
    <cfRule type="containsText" dxfId="342" priority="88" operator="containsText" text="F">
      <formula>NOT(ISERROR(SEARCH("F",AI9)))</formula>
    </cfRule>
    <cfRule type="containsText" dxfId="341" priority="89" operator="containsText" text="I">
      <formula>NOT(ISERROR(SEARCH("I",AI9)))</formula>
    </cfRule>
  </conditionalFormatting>
  <conditionalFormatting sqref="AQ7">
    <cfRule type="containsText" dxfId="340" priority="80" operator="containsText" text="MB">
      <formula>NOT(ISERROR(SEARCH("MB",AQ7)))</formula>
    </cfRule>
    <cfRule type="containsText" dxfId="339" priority="81" operator="containsText" text="B">
      <formula>NOT(ISERROR(SEARCH("B",AQ7)))</formula>
    </cfRule>
    <cfRule type="containsText" dxfId="338" priority="82" operator="containsText" text="R">
      <formula>NOT(ISERROR(SEARCH("R",AQ7)))</formula>
    </cfRule>
    <cfRule type="containsText" dxfId="337" priority="83" operator="containsText" text="F">
      <formula>NOT(ISERROR(SEARCH("F",AQ7)))</formula>
    </cfRule>
    <cfRule type="containsText" dxfId="336" priority="84" operator="containsText" text="I">
      <formula>NOT(ISERROR(SEARCH("I",AQ7)))</formula>
    </cfRule>
  </conditionalFormatting>
  <conditionalFormatting sqref="AR15">
    <cfRule type="containsText" dxfId="335" priority="75" operator="containsText" text="MB">
      <formula>NOT(ISERROR(SEARCH("MB",AR15)))</formula>
    </cfRule>
    <cfRule type="containsText" dxfId="334" priority="76" operator="containsText" text="B">
      <formula>NOT(ISERROR(SEARCH("B",AR15)))</formula>
    </cfRule>
    <cfRule type="containsText" dxfId="333" priority="77" operator="containsText" text="R">
      <formula>NOT(ISERROR(SEARCH("R",AR15)))</formula>
    </cfRule>
    <cfRule type="containsText" dxfId="332" priority="78" operator="containsText" text="F">
      <formula>NOT(ISERROR(SEARCH("F",AR15)))</formula>
    </cfRule>
    <cfRule type="containsText" dxfId="331" priority="79" operator="containsText" text="I">
      <formula>NOT(ISERROR(SEARCH("I",AR15)))</formula>
    </cfRule>
  </conditionalFormatting>
  <conditionalFormatting sqref="B12">
    <cfRule type="cellIs" dxfId="330" priority="73" operator="lessThan">
      <formula>0.69</formula>
    </cfRule>
    <cfRule type="cellIs" dxfId="329" priority="74" operator="greaterThan">
      <formula>0.7</formula>
    </cfRule>
  </conditionalFormatting>
  <conditionalFormatting sqref="D7">
    <cfRule type="containsText" dxfId="328" priority="64" operator="containsText" text="MB">
      <formula>NOT(ISERROR(SEARCH("MB",D7)))</formula>
    </cfRule>
    <cfRule type="containsText" dxfId="327" priority="65" operator="containsText" text="B">
      <formula>NOT(ISERROR(SEARCH("B",D7)))</formula>
    </cfRule>
    <cfRule type="containsText" dxfId="326" priority="66" operator="containsText" text="R">
      <formula>NOT(ISERROR(SEARCH("R",D7)))</formula>
    </cfRule>
    <cfRule type="containsText" dxfId="325" priority="67" operator="containsText" text="F">
      <formula>NOT(ISERROR(SEARCH("F",D7)))</formula>
    </cfRule>
    <cfRule type="containsText" dxfId="324" priority="68" operator="containsText" text="I">
      <formula>NOT(ISERROR(SEARCH("I",D7)))</formula>
    </cfRule>
  </conditionalFormatting>
  <conditionalFormatting sqref="E7">
    <cfRule type="containsText" dxfId="323" priority="59" operator="containsText" text="MB">
      <formula>NOT(ISERROR(SEARCH("MB",E7)))</formula>
    </cfRule>
    <cfRule type="containsText" dxfId="322" priority="60" operator="containsText" text="B">
      <formula>NOT(ISERROR(SEARCH("B",E7)))</formula>
    </cfRule>
    <cfRule type="containsText" dxfId="321" priority="61" operator="containsText" text="R">
      <formula>NOT(ISERROR(SEARCH("R",E7)))</formula>
    </cfRule>
    <cfRule type="containsText" dxfId="320" priority="62" operator="containsText" text="F">
      <formula>NOT(ISERROR(SEARCH("F",E7)))</formula>
    </cfRule>
    <cfRule type="containsText" dxfId="319" priority="63" operator="containsText" text="I">
      <formula>NOT(ISERROR(SEARCH("I",E7)))</formula>
    </cfRule>
  </conditionalFormatting>
  <conditionalFormatting sqref="G7:N7">
    <cfRule type="containsText" dxfId="318" priority="54" operator="containsText" text="MB">
      <formula>NOT(ISERROR(SEARCH("MB",G7)))</formula>
    </cfRule>
    <cfRule type="containsText" dxfId="317" priority="55" operator="containsText" text="B">
      <formula>NOT(ISERROR(SEARCH("B",G7)))</formula>
    </cfRule>
    <cfRule type="containsText" dxfId="316" priority="56" operator="containsText" text="R">
      <formula>NOT(ISERROR(SEARCH("R",G7)))</formula>
    </cfRule>
    <cfRule type="containsText" dxfId="315" priority="57" operator="containsText" text="F">
      <formula>NOT(ISERROR(SEARCH("F",G7)))</formula>
    </cfRule>
    <cfRule type="containsText" dxfId="314" priority="58" operator="containsText" text="I">
      <formula>NOT(ISERROR(SEARCH("I",G7)))</formula>
    </cfRule>
  </conditionalFormatting>
  <conditionalFormatting sqref="O7">
    <cfRule type="containsText" dxfId="313" priority="49" operator="containsText" text="MB">
      <formula>NOT(ISERROR(SEARCH("MB",O7)))</formula>
    </cfRule>
    <cfRule type="containsText" dxfId="312" priority="50" operator="containsText" text="B">
      <formula>NOT(ISERROR(SEARCH("B",O7)))</formula>
    </cfRule>
    <cfRule type="containsText" dxfId="311" priority="51" operator="containsText" text="R">
      <formula>NOT(ISERROR(SEARCH("R",O7)))</formula>
    </cfRule>
    <cfRule type="containsText" dxfId="310" priority="52" operator="containsText" text="F">
      <formula>NOT(ISERROR(SEARCH("F",O7)))</formula>
    </cfRule>
    <cfRule type="containsText" dxfId="309" priority="53" operator="containsText" text="I">
      <formula>NOT(ISERROR(SEARCH("I",O7)))</formula>
    </cfRule>
  </conditionalFormatting>
  <conditionalFormatting sqref="O12">
    <cfRule type="containsText" dxfId="308" priority="44" operator="containsText" text="MB">
      <formula>NOT(ISERROR(SEARCH("MB",O12)))</formula>
    </cfRule>
    <cfRule type="containsText" dxfId="307" priority="45" operator="containsText" text="B">
      <formula>NOT(ISERROR(SEARCH("B",O12)))</formula>
    </cfRule>
    <cfRule type="containsText" dxfId="306" priority="46" operator="containsText" text="R">
      <formula>NOT(ISERROR(SEARCH("R",O12)))</formula>
    </cfRule>
    <cfRule type="containsText" dxfId="305" priority="47" operator="containsText" text="F">
      <formula>NOT(ISERROR(SEARCH("F",O12)))</formula>
    </cfRule>
    <cfRule type="containsText" dxfId="304" priority="48" operator="containsText" text="I">
      <formula>NOT(ISERROR(SEARCH("I",O12)))</formula>
    </cfRule>
  </conditionalFormatting>
  <conditionalFormatting sqref="P13">
    <cfRule type="containsText" dxfId="303" priority="39" operator="containsText" text="MB">
      <formula>NOT(ISERROR(SEARCH("MB",P13)))</formula>
    </cfRule>
    <cfRule type="containsText" dxfId="302" priority="40" operator="containsText" text="B">
      <formula>NOT(ISERROR(SEARCH("B",P13)))</formula>
    </cfRule>
    <cfRule type="containsText" dxfId="301" priority="41" operator="containsText" text="R">
      <formula>NOT(ISERROR(SEARCH("R",P13)))</formula>
    </cfRule>
    <cfRule type="containsText" dxfId="300" priority="42" operator="containsText" text="F">
      <formula>NOT(ISERROR(SEARCH("F",P13)))</formula>
    </cfRule>
    <cfRule type="containsText" dxfId="299" priority="43" operator="containsText" text="I">
      <formula>NOT(ISERROR(SEARCH("I",P13)))</formula>
    </cfRule>
  </conditionalFormatting>
  <conditionalFormatting sqref="AH7">
    <cfRule type="containsText" dxfId="298" priority="34" operator="containsText" text="MB">
      <formula>NOT(ISERROR(SEARCH("MB",AH7)))</formula>
    </cfRule>
    <cfRule type="containsText" dxfId="297" priority="35" operator="containsText" text="B">
      <formula>NOT(ISERROR(SEARCH("B",AH7)))</formula>
    </cfRule>
    <cfRule type="containsText" dxfId="296" priority="36" operator="containsText" text="R">
      <formula>NOT(ISERROR(SEARCH("R",AH7)))</formula>
    </cfRule>
    <cfRule type="containsText" dxfId="295" priority="37" operator="containsText" text="F">
      <formula>NOT(ISERROR(SEARCH("F",AH7)))</formula>
    </cfRule>
    <cfRule type="containsText" dxfId="294" priority="38" operator="containsText" text="I">
      <formula>NOT(ISERROR(SEARCH("I",AH7)))</formula>
    </cfRule>
  </conditionalFormatting>
  <conditionalFormatting sqref="P3">
    <cfRule type="colorScale" priority="3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">
    <cfRule type="colorScale" priority="3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">
    <cfRule type="colorScale" priority="3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">
    <cfRule type="iconSet" priority="323">
      <iconSet iconSet="3Symbols">
        <cfvo type="percent" val="0"/>
        <cfvo type="percent" val="33"/>
        <cfvo type="percent" val="67"/>
      </iconSet>
    </cfRule>
  </conditionalFormatting>
  <conditionalFormatting sqref="AQ3">
    <cfRule type="iconSet" priority="324">
      <iconSet iconSet="3Symbols">
        <cfvo type="percent" val="0"/>
        <cfvo type="percent" val="33"/>
        <cfvo type="percent" val="67"/>
      </iconSet>
    </cfRule>
  </conditionalFormatting>
  <conditionalFormatting sqref="F7">
    <cfRule type="containsText" dxfId="293" priority="24" operator="containsText" text="MB">
      <formula>NOT(ISERROR(SEARCH("MB",F7)))</formula>
    </cfRule>
    <cfRule type="containsText" dxfId="292" priority="25" operator="containsText" text="B">
      <formula>NOT(ISERROR(SEARCH("B",F7)))</formula>
    </cfRule>
    <cfRule type="containsText" dxfId="291" priority="26" operator="containsText" text="R">
      <formula>NOT(ISERROR(SEARCH("R",F7)))</formula>
    </cfRule>
    <cfRule type="containsText" dxfId="290" priority="27" operator="containsText" text="F">
      <formula>NOT(ISERROR(SEARCH("F",F7)))</formula>
    </cfRule>
    <cfRule type="containsText" dxfId="289" priority="28" operator="containsText" text="I">
      <formula>NOT(ISERROR(SEARCH("I",F7)))</formula>
    </cfRule>
  </conditionalFormatting>
  <conditionalFormatting sqref="BL3:BL30">
    <cfRule type="containsText" dxfId="288" priority="19" operator="containsText" text="MB">
      <formula>NOT(ISERROR(SEARCH("MB",BL3)))</formula>
    </cfRule>
    <cfRule type="containsText" dxfId="287" priority="20" operator="containsText" text="B">
      <formula>NOT(ISERROR(SEARCH("B",BL3)))</formula>
    </cfRule>
    <cfRule type="containsText" dxfId="286" priority="21" operator="containsText" text="R">
      <formula>NOT(ISERROR(SEARCH("R",BL3)))</formula>
    </cfRule>
    <cfRule type="containsText" dxfId="285" priority="22" operator="containsText" text="F">
      <formula>NOT(ISERROR(SEARCH("F",BL3)))</formula>
    </cfRule>
    <cfRule type="containsText" dxfId="284" priority="23" operator="containsText" text="I">
      <formula>NOT(ISERROR(SEARCH("I",BL3)))</formula>
    </cfRule>
  </conditionalFormatting>
  <conditionalFormatting sqref="BO2:BO32">
    <cfRule type="containsText" dxfId="283" priority="14" operator="containsText" text="MB">
      <formula>NOT(ISERROR(SEARCH("MB",BO2)))</formula>
    </cfRule>
    <cfRule type="containsText" dxfId="282" priority="15" operator="containsText" text="B">
      <formula>NOT(ISERROR(SEARCH("B",BO2)))</formula>
    </cfRule>
    <cfRule type="containsText" dxfId="281" priority="16" operator="containsText" text="R">
      <formula>NOT(ISERROR(SEARCH("R",BO2)))</formula>
    </cfRule>
    <cfRule type="containsText" dxfId="280" priority="17" operator="containsText" text="F">
      <formula>NOT(ISERROR(SEARCH("F",BO2)))</formula>
    </cfRule>
    <cfRule type="containsText" dxfId="279" priority="18" operator="containsText" text="I">
      <formula>NOT(ISERROR(SEARCH("I",BO2)))</formula>
    </cfRule>
  </conditionalFormatting>
  <conditionalFormatting sqref="BS1">
    <cfRule type="containsText" dxfId="278" priority="9" operator="containsText" text="MB">
      <formula>NOT(ISERROR(SEARCH("MB",BS1)))</formula>
    </cfRule>
    <cfRule type="containsText" dxfId="277" priority="10" operator="containsText" text="B">
      <formula>NOT(ISERROR(SEARCH("B",BS1)))</formula>
    </cfRule>
    <cfRule type="containsText" dxfId="276" priority="11" operator="containsText" text="R">
      <formula>NOT(ISERROR(SEARCH("R",BS1)))</formula>
    </cfRule>
    <cfRule type="containsText" dxfId="275" priority="12" operator="containsText" text="F">
      <formula>NOT(ISERROR(SEARCH("F",BS1)))</formula>
    </cfRule>
    <cfRule type="containsText" dxfId="274" priority="13" operator="containsText" text="I">
      <formula>NOT(ISERROR(SEARCH("I",BS1)))</formula>
    </cfRule>
  </conditionalFormatting>
  <conditionalFormatting sqref="BS2">
    <cfRule type="containsText" dxfId="273" priority="4" operator="containsText" text="MB">
      <formula>NOT(ISERROR(SEARCH("MB",BS2)))</formula>
    </cfRule>
    <cfRule type="containsText" dxfId="272" priority="5" operator="containsText" text="B">
      <formula>NOT(ISERROR(SEARCH("B",BS2)))</formula>
    </cfRule>
    <cfRule type="containsText" dxfId="271" priority="6" operator="containsText" text="R">
      <formula>NOT(ISERROR(SEARCH("R",BS2)))</formula>
    </cfRule>
    <cfRule type="containsText" dxfId="270" priority="7" operator="containsText" text="F">
      <formula>NOT(ISERROR(SEARCH("F",BS2)))</formula>
    </cfRule>
    <cfRule type="containsText" dxfId="269" priority="8" operator="containsText" text="I">
      <formula>NOT(ISERROR(SEARCH("I",BS2)))</formula>
    </cfRule>
  </conditionalFormatting>
  <conditionalFormatting sqref="BO36">
    <cfRule type="cellIs" dxfId="268" priority="2" operator="lessThan">
      <formula>0</formula>
    </cfRule>
    <cfRule type="cellIs" dxfId="267" priority="3" operator="greaterThan">
      <formula>0</formula>
    </cfRule>
  </conditionalFormatting>
  <conditionalFormatting sqref="BQ4:BQ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disablePrompts="1" count="1">
    <dataValidation type="list" allowBlank="1" showInputMessage="1" showErrorMessage="1" sqref="B3">
      <formula1>$A$8:$A$9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7"/>
  <sheetViews>
    <sheetView zoomScale="85" zoomScaleNormal="85" workbookViewId="0">
      <selection activeCell="A5" sqref="A5:XFD86"/>
    </sheetView>
  </sheetViews>
  <sheetFormatPr defaultColWidth="8.5546875" defaultRowHeight="14.4" outlineLevelRow="1" outlineLevelCol="1" x14ac:dyDescent="0.3"/>
  <cols>
    <col min="1" max="1" width="34.21875" style="38" bestFit="1" customWidth="1"/>
    <col min="2" max="2" width="11" style="15" bestFit="1" customWidth="1"/>
    <col min="3" max="3" width="15.77734375" style="15" bestFit="1" customWidth="1"/>
    <col min="4" max="4" width="10.6640625" style="15" bestFit="1" customWidth="1"/>
    <col min="5" max="5" width="13.21875" style="15" bestFit="1" customWidth="1"/>
    <col min="6" max="6" width="8" style="15" bestFit="1" customWidth="1"/>
    <col min="7" max="7" width="7.44140625" style="15" customWidth="1"/>
    <col min="8" max="8" width="8.77734375" style="15" bestFit="1" customWidth="1"/>
    <col min="9" max="12" width="6.21875" style="15" customWidth="1"/>
    <col min="13" max="13" width="7.77734375" style="15" bestFit="1" customWidth="1"/>
    <col min="14" max="14" width="7.77734375" style="15" customWidth="1"/>
    <col min="15" max="15" width="16" style="15" bestFit="1" customWidth="1"/>
    <col min="16" max="16" width="10" style="15" bestFit="1" customWidth="1"/>
    <col min="17" max="17" width="7.77734375" style="15" bestFit="1" customWidth="1"/>
    <col min="18" max="18" width="4.21875" style="15" bestFit="1" customWidth="1"/>
    <col min="19" max="19" width="3.6640625" style="15" bestFit="1" customWidth="1"/>
    <col min="20" max="20" width="4.44140625" style="15" bestFit="1" customWidth="1"/>
    <col min="21" max="21" width="3.77734375" style="15" bestFit="1" customWidth="1"/>
    <col min="22" max="22" width="4.77734375" style="15" bestFit="1" customWidth="1"/>
    <col min="23" max="23" width="4.88671875" style="15" bestFit="1" customWidth="1"/>
    <col min="24" max="30" width="3.21875" style="15" bestFit="1" customWidth="1"/>
    <col min="31" max="31" width="2.77734375" style="15" bestFit="1" customWidth="1"/>
    <col min="32" max="32" width="4.109375" style="15" bestFit="1" customWidth="1"/>
    <col min="33" max="33" width="3.6640625" style="15" bestFit="1" customWidth="1"/>
    <col min="34" max="34" width="7" style="15" bestFit="1" customWidth="1"/>
    <col min="35" max="35" width="20.77734375" style="15" bestFit="1" customWidth="1"/>
    <col min="36" max="37" width="3.21875" style="15" bestFit="1" customWidth="1"/>
    <col min="38" max="38" width="3.33203125" style="15" bestFit="1" customWidth="1"/>
    <col min="39" max="42" width="3.21875" style="15" bestFit="1" customWidth="1"/>
    <col min="43" max="43" width="12.77734375" style="15" bestFit="1" customWidth="1"/>
    <col min="44" max="44" width="13.44140625" style="15" bestFit="1" customWidth="1"/>
    <col min="45" max="45" width="7.77734375" style="15" bestFit="1" customWidth="1"/>
    <col min="46" max="46" width="4.21875" style="15" bestFit="1" customWidth="1"/>
    <col min="47" max="47" width="3.6640625" style="15" bestFit="1" customWidth="1"/>
    <col min="48" max="48" width="4.44140625" style="15" bestFit="1" customWidth="1"/>
    <col min="49" max="49" width="3.77734375" style="15" bestFit="1" customWidth="1"/>
    <col min="50" max="50" width="4.77734375" style="15" bestFit="1" customWidth="1"/>
    <col min="51" max="51" width="4.88671875" style="15" bestFit="1" customWidth="1"/>
    <col min="52" max="52" width="3.33203125" style="15" bestFit="1" customWidth="1"/>
    <col min="53" max="53" width="4.21875" style="15" bestFit="1" customWidth="1"/>
    <col min="54" max="54" width="3.6640625" style="15" bestFit="1" customWidth="1"/>
    <col min="55" max="55" width="2.77734375" style="15" bestFit="1" customWidth="1"/>
    <col min="56" max="56" width="4.109375" style="15" bestFit="1" customWidth="1"/>
    <col min="57" max="57" width="3.6640625" style="15" bestFit="1" customWidth="1"/>
    <col min="58" max="58" width="12.21875" style="15" customWidth="1"/>
    <col min="59" max="59" width="13.77734375" style="15" hidden="1" customWidth="1" outlineLevel="1"/>
    <col min="60" max="60" width="15.109375" style="15" hidden="1" customWidth="1" outlineLevel="1"/>
    <col min="61" max="61" width="5.33203125" style="15" hidden="1" customWidth="1" outlineLevel="1"/>
    <col min="62" max="62" width="6.88671875" style="15" hidden="1" customWidth="1" outlineLevel="1"/>
    <col min="63" max="63" width="6.77734375" style="15" hidden="1" customWidth="1" outlineLevel="1"/>
    <col min="64" max="64" width="9.77734375" style="15" hidden="1" customWidth="1" outlineLevel="1"/>
    <col min="65" max="65" width="7" style="15" hidden="1" customWidth="1" outlineLevel="1"/>
    <col min="66" max="66" width="11.109375" style="15" hidden="1" customWidth="1" outlineLevel="1"/>
    <col min="67" max="67" width="17.77734375" style="15" hidden="1" customWidth="1" outlineLevel="1"/>
    <col min="68" max="68" width="0" style="15" hidden="1" customWidth="1" outlineLevel="1" collapsed="1"/>
    <col min="69" max="69" width="19.5546875" style="15" bestFit="1" customWidth="1" collapsed="1"/>
    <col min="70" max="71" width="7.44140625" style="15" bestFit="1" customWidth="1"/>
    <col min="72" max="16384" width="8.5546875" style="15"/>
  </cols>
  <sheetData>
    <row r="1" spans="1:71" s="23" customFormat="1" x14ac:dyDescent="0.3">
      <c r="A1" s="39"/>
      <c r="C1" s="23" t="s">
        <v>40</v>
      </c>
      <c r="O1" s="23" t="s">
        <v>7</v>
      </c>
      <c r="AI1" s="23" t="s">
        <v>30</v>
      </c>
      <c r="BG1" s="20" t="s">
        <v>101</v>
      </c>
      <c r="BH1" s="17" t="s">
        <v>102</v>
      </c>
      <c r="BI1" s="17" t="s">
        <v>89</v>
      </c>
      <c r="BJ1" s="17" t="s">
        <v>106</v>
      </c>
      <c r="BK1" s="17" t="s">
        <v>107</v>
      </c>
      <c r="BL1" s="17" t="s">
        <v>88</v>
      </c>
      <c r="BM1" s="17" t="s">
        <v>90</v>
      </c>
      <c r="BN1" s="17" t="s">
        <v>91</v>
      </c>
      <c r="BO1" s="17" t="s">
        <v>103</v>
      </c>
      <c r="BQ1" s="20" t="s">
        <v>100</v>
      </c>
      <c r="BR1" s="2">
        <f>(BI7*BN7+BI15*BN15+BI21*BN21)/0.9</f>
        <v>0</v>
      </c>
      <c r="BS1" s="17" t="str">
        <f>IF(BR1&lt;2,"I",IF(AND(BR1&gt;=2,BR1&lt;4),"F",IF(AND(BR1&gt;=4,BR1&lt;6),"R",IF(AND(BR1&gt;=6,BR1&lt;8),"B","MB"))))</f>
        <v>I</v>
      </c>
    </row>
    <row r="2" spans="1:71" s="17" customFormat="1" x14ac:dyDescent="0.3">
      <c r="A2" s="20" t="s">
        <v>68</v>
      </c>
      <c r="B2" s="17" t="s">
        <v>0</v>
      </c>
      <c r="C2" s="17" t="s">
        <v>2</v>
      </c>
      <c r="D2" s="17" t="s">
        <v>75</v>
      </c>
      <c r="E2" s="17" t="s">
        <v>105</v>
      </c>
      <c r="F2" s="17" t="s">
        <v>77</v>
      </c>
      <c r="G2" s="17" t="s">
        <v>147</v>
      </c>
      <c r="H2" s="17" t="s">
        <v>148</v>
      </c>
      <c r="I2" s="17" t="s">
        <v>149</v>
      </c>
      <c r="J2" s="17" t="s">
        <v>150</v>
      </c>
      <c r="K2" s="17" t="s">
        <v>146</v>
      </c>
      <c r="L2" s="17" t="s">
        <v>151</v>
      </c>
      <c r="M2" s="17" t="s">
        <v>5</v>
      </c>
      <c r="N2" s="17" t="s">
        <v>152</v>
      </c>
      <c r="O2" s="17" t="s">
        <v>157</v>
      </c>
      <c r="P2" s="17" t="s">
        <v>11</v>
      </c>
      <c r="Q2" s="17" t="s">
        <v>12</v>
      </c>
      <c r="R2" s="17" t="s">
        <v>13</v>
      </c>
      <c r="S2" s="17" t="s">
        <v>14</v>
      </c>
      <c r="T2" s="17" t="s">
        <v>15</v>
      </c>
      <c r="U2" s="17" t="s">
        <v>16</v>
      </c>
      <c r="V2" s="17" t="s">
        <v>17</v>
      </c>
      <c r="W2" s="17" t="s">
        <v>18</v>
      </c>
      <c r="X2" s="17" t="s">
        <v>19</v>
      </c>
      <c r="Y2" s="17" t="s">
        <v>20</v>
      </c>
      <c r="Z2" s="17" t="s">
        <v>21</v>
      </c>
      <c r="AA2" s="17" t="s">
        <v>22</v>
      </c>
      <c r="AB2" s="17" t="s">
        <v>23</v>
      </c>
      <c r="AC2" s="17" t="s">
        <v>24</v>
      </c>
      <c r="AD2" s="17" t="s">
        <v>25</v>
      </c>
      <c r="AE2" s="17" t="s">
        <v>26</v>
      </c>
      <c r="AF2" s="17" t="s">
        <v>27</v>
      </c>
      <c r="AG2" s="17" t="s">
        <v>28</v>
      </c>
      <c r="AH2" s="17" t="s">
        <v>29</v>
      </c>
      <c r="AI2" s="17" t="s">
        <v>31</v>
      </c>
      <c r="AJ2" s="17" t="s">
        <v>19</v>
      </c>
      <c r="AK2" s="17" t="s">
        <v>20</v>
      </c>
      <c r="AL2" s="17" t="s">
        <v>21</v>
      </c>
      <c r="AM2" s="17" t="s">
        <v>22</v>
      </c>
      <c r="AN2" s="17" t="s">
        <v>23</v>
      </c>
      <c r="AO2" s="17" t="s">
        <v>24</v>
      </c>
      <c r="AP2" s="17" t="s">
        <v>25</v>
      </c>
      <c r="AQ2" s="17" t="s">
        <v>32</v>
      </c>
      <c r="AR2" s="17" t="s">
        <v>33</v>
      </c>
      <c r="AS2" s="17" t="s">
        <v>12</v>
      </c>
      <c r="AT2" s="17" t="s">
        <v>13</v>
      </c>
      <c r="AU2" s="17" t="s">
        <v>14</v>
      </c>
      <c r="AV2" s="17" t="s">
        <v>15</v>
      </c>
      <c r="AW2" s="17" t="s">
        <v>16</v>
      </c>
      <c r="AX2" s="17" t="s">
        <v>17</v>
      </c>
      <c r="AY2" s="17" t="s">
        <v>18</v>
      </c>
      <c r="AZ2" s="17" t="s">
        <v>37</v>
      </c>
      <c r="BA2" s="17" t="s">
        <v>38</v>
      </c>
      <c r="BB2" s="17" t="s">
        <v>39</v>
      </c>
      <c r="BC2" s="17" t="s">
        <v>26</v>
      </c>
      <c r="BD2" s="17" t="s">
        <v>27</v>
      </c>
      <c r="BE2" s="17" t="s">
        <v>28</v>
      </c>
      <c r="BG2" s="20" t="s">
        <v>45</v>
      </c>
      <c r="BI2" s="18">
        <v>0</v>
      </c>
      <c r="BN2" s="24">
        <f>SUM(BN3:BN5)</f>
        <v>4.2</v>
      </c>
      <c r="BO2" s="17" t="str">
        <f>IF(BN2&lt;2,"I",IF(AND(BN2&gt;=2,BN2&lt;4),"F",IF(AND(BN2&gt;=4,BN2&lt;6),"R",IF(AND(BN2&gt;=6,BN2&lt;8),"B","MB"))))</f>
        <v>R</v>
      </c>
      <c r="BQ2" s="36" t="s">
        <v>99</v>
      </c>
      <c r="BR2" s="34">
        <f>BN21</f>
        <v>0</v>
      </c>
      <c r="BS2" s="17" t="str">
        <f>IF(BR2&lt;2,"I",IF(AND(BR2&gt;=2,BR2&lt;4),"F",IF(AND(BR2&gt;=4,BR2&lt;6),"R",IF(AND(BR2&gt;=6,BR2&lt;8),"B","MB"))))</f>
        <v>I</v>
      </c>
    </row>
    <row r="3" spans="1:71" x14ac:dyDescent="0.3">
      <c r="A3" s="41" t="s">
        <v>132</v>
      </c>
      <c r="B3" s="42" t="s">
        <v>1</v>
      </c>
      <c r="C3" s="42"/>
      <c r="D3" s="42"/>
      <c r="E3" s="42"/>
      <c r="F3" s="49">
        <f>G3+K3</f>
        <v>0</v>
      </c>
      <c r="G3" s="49">
        <f>IF(H3=1,SUM(H3:J3),0)</f>
        <v>0</v>
      </c>
      <c r="H3" s="42"/>
      <c r="I3" s="42"/>
      <c r="J3" s="42"/>
      <c r="K3" s="49">
        <f>IF(L3&lt;20000,0,IF(AND(L3&gt;=20000,L3&lt;=50000),1,2))</f>
        <v>0</v>
      </c>
      <c r="L3" s="42"/>
      <c r="M3" s="3">
        <f>COUNTIFS(E3,"&gt;=1",O3,"&gt;=0.5",AQ3,"&gt;=1")</f>
        <v>0</v>
      </c>
      <c r="N3" s="59"/>
      <c r="O3" s="19">
        <v>0</v>
      </c>
      <c r="P3" s="1">
        <f>4*Q3+3*R3+2*S3+T3+0.1*U3+0.05*V3+0.05*W3+X3+0.9*Y3+0.75*Z3+0.5*AA3+0.3*AB3+0.1*AC3+0.05*AD3+0.1*AE3+0.05*AF3+0.025*AG3</f>
        <v>0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">
        <f t="shared" ref="AI3" si="0">AJ3+0.9*AK3+0.75*AL3+0.5*AM3+0.3*AN3+0.1*AO3+0.05*AP3</f>
        <v>0</v>
      </c>
      <c r="AJ3" s="35"/>
      <c r="AK3" s="35"/>
      <c r="AL3" s="35"/>
      <c r="AM3" s="35"/>
      <c r="AN3" s="19"/>
      <c r="AO3" s="19"/>
      <c r="AP3" s="19"/>
      <c r="AQ3" s="3">
        <f t="shared" ref="AQ3" si="1">IF(SUM(AJ3:AL3)&gt;=0.001,1,0)</f>
        <v>0</v>
      </c>
      <c r="AR3" s="1">
        <f t="shared" ref="AR3" si="2">4*AS3+3*AT3+2*AU3+AV3+0.1*AW3+0.05*AX3+0.05*AY3+0.2*AZ3+0.1*BA3+0.5*BB3+0.1*BC3+0.05*BD3+0.025*BE3</f>
        <v>0</v>
      </c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G3" s="21" t="s">
        <v>46</v>
      </c>
      <c r="BH3" s="11" t="s">
        <v>50</v>
      </c>
      <c r="BI3" s="15">
        <v>0.4</v>
      </c>
      <c r="BJ3" s="16">
        <v>0</v>
      </c>
      <c r="BL3" s="15" t="s">
        <v>95</v>
      </c>
      <c r="BM3" s="1">
        <f>IF(BL3="I",1,IF(BL3="F",3,IF(BL3="R",5,IF(BL3="B",7,9))))</f>
        <v>5</v>
      </c>
      <c r="BN3" s="25">
        <f>BI3*BM3</f>
        <v>2</v>
      </c>
    </row>
    <row r="4" spans="1:71" x14ac:dyDescent="0.3">
      <c r="A4" s="22" t="s">
        <v>67</v>
      </c>
      <c r="BG4" s="21" t="s">
        <v>48</v>
      </c>
      <c r="BH4" s="11" t="s">
        <v>50</v>
      </c>
      <c r="BI4" s="15">
        <v>0.4</v>
      </c>
      <c r="BJ4" s="16">
        <v>0</v>
      </c>
      <c r="BL4" s="15" t="s">
        <v>96</v>
      </c>
      <c r="BM4" s="1">
        <f t="shared" ref="BM4:BM5" si="3">IF(BL4="I",1,IF(BL4="F",3,IF(BL4="R",5,IF(BL4="B",7,9))))</f>
        <v>3</v>
      </c>
      <c r="BN4" s="25">
        <f>BI4*BM4</f>
        <v>1.2000000000000002</v>
      </c>
      <c r="BQ4" s="1"/>
    </row>
    <row r="5" spans="1:71" hidden="1" outlineLevel="1" x14ac:dyDescent="0.3">
      <c r="B5" s="17" t="s">
        <v>42</v>
      </c>
      <c r="C5" s="17" t="s">
        <v>3</v>
      </c>
      <c r="D5" s="17" t="s">
        <v>76</v>
      </c>
      <c r="E5" s="17" t="s">
        <v>4</v>
      </c>
      <c r="F5" s="17" t="s">
        <v>78</v>
      </c>
      <c r="G5" s="17"/>
      <c r="H5" s="17"/>
      <c r="I5" s="17"/>
      <c r="J5" s="17"/>
      <c r="K5" s="17"/>
      <c r="L5" s="17"/>
      <c r="M5" s="17" t="s">
        <v>6</v>
      </c>
      <c r="N5" s="17" t="s">
        <v>153</v>
      </c>
      <c r="O5" s="17" t="s">
        <v>8</v>
      </c>
      <c r="P5" s="17" t="s">
        <v>79</v>
      </c>
      <c r="Q5" s="6" t="s">
        <v>82</v>
      </c>
      <c r="AH5" s="17" t="s">
        <v>35</v>
      </c>
      <c r="AI5" s="17" t="s">
        <v>36</v>
      </c>
      <c r="AQ5" s="17" t="s">
        <v>41</v>
      </c>
      <c r="AR5" s="17" t="s">
        <v>34</v>
      </c>
      <c r="BG5" s="21" t="s">
        <v>49</v>
      </c>
      <c r="BH5" s="11" t="s">
        <v>50</v>
      </c>
      <c r="BI5" s="15">
        <v>0.2</v>
      </c>
      <c r="BJ5" s="16">
        <v>0</v>
      </c>
      <c r="BL5" s="15" t="s">
        <v>95</v>
      </c>
      <c r="BM5" s="1">
        <f t="shared" si="3"/>
        <v>5</v>
      </c>
      <c r="BN5" s="25">
        <f>BI5*BM5</f>
        <v>1</v>
      </c>
      <c r="BQ5" s="1"/>
    </row>
    <row r="6" spans="1:71" hidden="1" outlineLevel="1" x14ac:dyDescent="0.3">
      <c r="B6" s="15">
        <f>COUNTA(B3:B3)</f>
        <v>1</v>
      </c>
      <c r="C6" s="28">
        <f>SUMIF(B3:B3,"=Permanente",C3:C3)/B6</f>
        <v>0</v>
      </c>
      <c r="D6" s="5">
        <f>SUMIF(B3:B3,"=Permanente",D3:D3)/B10</f>
        <v>0</v>
      </c>
      <c r="E6" s="1">
        <f>SUMIF(B3:B3,"=Permanente",E3:E3)/B10</f>
        <v>0</v>
      </c>
      <c r="F6" s="50">
        <f>SUMIF(B3,"=Permanente",F3:F3)/B10</f>
        <v>0</v>
      </c>
      <c r="M6" s="16">
        <f>SUMIF(B3:B3,"=Permanente",M3:M3)/B10</f>
        <v>0</v>
      </c>
      <c r="N6" s="60">
        <f>N3</f>
        <v>0</v>
      </c>
      <c r="O6" s="1">
        <f>SUMIF(B3:B3,"=Permanente",O3:O3)/B6</f>
        <v>0</v>
      </c>
      <c r="P6" s="1">
        <f>IF(O3=0,(SUMIF(B3:B3,"=Permanente",P3:P3)+SUMIF(B3:B3,"=Colaborador",P3:P3))/0.5,(SUMIF(B3:B3,"=Permanente",P3:P3)+SUMIF(B3:B3,"=Colaborador",P3:P3))/O16)</f>
        <v>0</v>
      </c>
      <c r="AH6" s="15">
        <f>IF(AH3&gt;0,MEDIAN(AH3:AH3),100)</f>
        <v>100</v>
      </c>
      <c r="AI6" s="1">
        <f>SUMIF(B3:B3,"=Permanente",AI3:AI3)/B6</f>
        <v>0</v>
      </c>
      <c r="AQ6" s="16">
        <f>SUMIF(B3:B3,"=Permanente",AQ3:AQ3)/B10</f>
        <v>0</v>
      </c>
      <c r="AR6" s="1">
        <f>SUMIF(B3:B3,"=Permanente",AR3:AR3)/B6</f>
        <v>0</v>
      </c>
      <c r="BG6" s="21"/>
      <c r="BJ6" s="16"/>
      <c r="BM6" s="1"/>
      <c r="BN6" s="25"/>
      <c r="BQ6" s="1"/>
    </row>
    <row r="7" spans="1:71" hidden="1" outlineLevel="1" x14ac:dyDescent="0.3">
      <c r="A7" s="38" t="s">
        <v>69</v>
      </c>
      <c r="B7" s="17" t="s">
        <v>44</v>
      </c>
      <c r="C7" s="17" t="str">
        <f>IF(C6&lt;0.1,"I",IF(AND(C6&gt;=0.1,C6&lt;0.2),"F",IF(AND(C6&gt;=0.2,C6&lt;0.3),"R",IF(AND(C6&gt;=0.3,C6&lt;0.4),"B","MB"))))</f>
        <v>I</v>
      </c>
      <c r="D7" s="17" t="str">
        <f>IF(D6&lt;3,"I",IF(AND(D6&gt;=3,D6&lt;4),"F",IF(AND(D6&gt;=4,D6&lt;5.5),"R",IF(AND(D6&gt;=5.5,D6&lt;7),"B","MB"))))</f>
        <v>I</v>
      </c>
      <c r="E7" s="17" t="str">
        <f>IF(E6&lt;0.4,"I",IF(OR(AND(E6&gt;=0.4,E6&lt;0.6),AND(E6&gt;4,E6&lt;=4.5)),"F",IF(OR(AND(E6&gt;=0.6,E6&lt;0.8),AND(E6&gt;3.5,E6&lt;=4)),"R",IF(OR(AND(E6&gt;=0.8,E6&lt;1),AND(E6&gt;3,E6&lt;=3.5)),"B",IF(AND(E6&gt;=1,E6&lt;=3),"MB","I")))))</f>
        <v>I</v>
      </c>
      <c r="F7" s="17" t="str">
        <f>IF(F6&lt;1,"I",IF(AND(F6&gt;=1,F6&lt;2),"F",IF(AND(F6&gt;=2,F6&lt;3),"R",IF(AND(F6&gt;=3,F6&lt;4),"B","MB"))))</f>
        <v>I</v>
      </c>
      <c r="G7" s="17"/>
      <c r="H7" s="17"/>
      <c r="I7" s="17"/>
      <c r="J7" s="17"/>
      <c r="K7" s="17"/>
      <c r="L7" s="17"/>
      <c r="M7" s="17" t="str">
        <f>IF(M6&lt;0.2,"I",IF(AND(M6&gt;=0.2,M6&lt;0.3),"F",IF(AND(M6&gt;=0.3,M6&lt;0.45),"R",IF(AND(M6&gt;=0.45,M6&lt;0.6),"B","MB"))))</f>
        <v>I</v>
      </c>
      <c r="N7" s="17" t="str">
        <f>IF(N6=1,"MB","I")</f>
        <v>I</v>
      </c>
      <c r="O7" s="17" t="str">
        <f>IF(O6&lt;0.4,"I",IF(OR(AND(O6&gt;=0.4,O6&lt;0.7),AND(O6&gt;8,O6&lt;=10)),"F",IF(OR(AND(O6&gt;=0.7,O6&lt;1),AND(O6&gt;6,O6&lt;=8)),"R",IF(OR(AND(O6&gt;=1,O6&lt;1.5),AND(O6&gt;5,O6&lt;=6)),"B",IF(AND(O6&gt;=1.5,O6&lt;=5),"MB","I")))))</f>
        <v>I</v>
      </c>
      <c r="P7" s="17" t="s">
        <v>80</v>
      </c>
      <c r="Q7" s="15" t="s">
        <v>83</v>
      </c>
      <c r="AH7" s="17" t="str">
        <f>IF(AH6&gt;36,"I",IF(AND(AH6&gt;34,AH6&lt;=36),"F",IF(AND(AH6&gt;32,AH6&lt;=34),"R",IF(AND(AH6&gt;30,AH6&lt;=32),"B","MB"))))</f>
        <v>I</v>
      </c>
      <c r="AI7" s="17" t="s">
        <v>74</v>
      </c>
      <c r="AQ7" s="17" t="str">
        <f>IF(AQ6&lt;0.35,"I",IF(AND(AQ6&gt;=0.35,AQ6&lt;0.55),"F",IF(AND(AQ6&gt;=0.55,AQ6&lt;0.7),"R",IF(AND(AQ6&gt;=0.7,AQ6&lt;0.85),"B","MB"))))</f>
        <v>I</v>
      </c>
      <c r="AR7" s="17" t="s">
        <v>84</v>
      </c>
      <c r="BG7" s="20" t="s">
        <v>73</v>
      </c>
      <c r="BH7" s="17"/>
      <c r="BI7" s="18">
        <v>0.2</v>
      </c>
      <c r="BJ7" s="18"/>
      <c r="BK7" s="17"/>
      <c r="BL7" s="17"/>
      <c r="BM7" s="1"/>
      <c r="BN7" s="24">
        <f>SUM(BN8:BN13)</f>
        <v>0</v>
      </c>
      <c r="BO7" s="17" t="str">
        <f>IF(BN7&lt;2,"I",IF(AND(BN7&gt;=2,BN7&lt;4),"F",IF(AND(BN7&gt;=4,BN7&lt;6),"R",IF(AND(BN7&gt;=6,BN7&lt;8),"B","MB"))))</f>
        <v>I</v>
      </c>
      <c r="BQ7" s="1"/>
    </row>
    <row r="8" spans="1:71" hidden="1" outlineLevel="1" x14ac:dyDescent="0.3">
      <c r="A8" s="38" t="s">
        <v>1</v>
      </c>
      <c r="B8" s="15">
        <f>COUNTIF(B3:B3,"=Colaborador")</f>
        <v>0</v>
      </c>
      <c r="C8" s="32">
        <f>SUMIF(B17:B21,C7,H17:H21)</f>
        <v>0</v>
      </c>
      <c r="D8" s="32">
        <f>SUMIF(B22:B26,D7,H22:H26)</f>
        <v>0</v>
      </c>
      <c r="E8" s="1">
        <f>IF(E6&gt;D31,SUMIF(B32:B36,E7,H32:H36),SUMIF(B27:B31,E7,H27:H31))</f>
        <v>0</v>
      </c>
      <c r="F8" s="15">
        <f>SUMIF(B37:B41,F7,H37:H41)</f>
        <v>0</v>
      </c>
      <c r="M8" s="15">
        <f>SUMIF(B42:B46,M7,H42:H46)</f>
        <v>0</v>
      </c>
      <c r="N8" s="61">
        <f>N6</f>
        <v>0</v>
      </c>
      <c r="O8" s="1">
        <f>IF(O6&gt;D51,SUMIF(B52:B56,O7,H52:H56),SUMIF(B47:B51,O7,H47:H51))</f>
        <v>0</v>
      </c>
      <c r="P8" s="15">
        <v>1</v>
      </c>
      <c r="AH8" s="32">
        <f>SUMIF(B67:B71,AH7,H67:H71)</f>
        <v>0</v>
      </c>
      <c r="AI8" s="37">
        <f>AI6</f>
        <v>0</v>
      </c>
      <c r="AQ8" s="32">
        <f>SUMIF(B77:B81,AQ7,H77:H81)</f>
        <v>0</v>
      </c>
      <c r="AR8" s="4">
        <f>AR6</f>
        <v>0</v>
      </c>
      <c r="AS8" s="15" t="s">
        <v>82</v>
      </c>
      <c r="BG8" s="21" t="s">
        <v>62</v>
      </c>
      <c r="BH8" s="15" t="s">
        <v>3</v>
      </c>
      <c r="BI8" s="15">
        <v>0.3</v>
      </c>
      <c r="BJ8" s="16">
        <f>BI8*$BI$7</f>
        <v>0.06</v>
      </c>
      <c r="BK8" s="29">
        <f>C6</f>
        <v>0</v>
      </c>
      <c r="BL8" s="15" t="str">
        <f>C7</f>
        <v>I</v>
      </c>
      <c r="BM8" s="1">
        <f>C8</f>
        <v>0</v>
      </c>
      <c r="BN8" s="25">
        <f>(0.67*BM8+0.33*BM9)*BI8</f>
        <v>0</v>
      </c>
      <c r="BO8" s="1"/>
      <c r="BQ8" s="1"/>
    </row>
    <row r="9" spans="1:71" hidden="1" outlineLevel="1" x14ac:dyDescent="0.3">
      <c r="A9" s="38" t="s">
        <v>70</v>
      </c>
      <c r="B9" s="17" t="s">
        <v>43</v>
      </c>
      <c r="P9" s="17" t="s">
        <v>47</v>
      </c>
      <c r="AI9" s="17" t="str">
        <f>IF(AI8&lt;0.3,"I",IF(AND(AI8&gt;=0.3,AI8&lt;0.45),"F",IF(AND(AI8&gt;=0.45,AI8&lt;0.65),"R",IF(AND(AI8&gt;=0.65,AI8&lt;0.95),"B","MB"))))</f>
        <v>I</v>
      </c>
      <c r="AR9" s="17" t="s">
        <v>85</v>
      </c>
      <c r="BG9" s="21" t="s">
        <v>86</v>
      </c>
      <c r="BH9" s="15" t="s">
        <v>76</v>
      </c>
      <c r="BJ9" s="16"/>
      <c r="BK9" s="29">
        <f>D6</f>
        <v>0</v>
      </c>
      <c r="BL9" s="15" t="str">
        <f>D7</f>
        <v>I</v>
      </c>
      <c r="BM9" s="1">
        <f>D8</f>
        <v>0</v>
      </c>
      <c r="BN9" s="25"/>
      <c r="BO9" s="1"/>
      <c r="BQ9" s="1"/>
    </row>
    <row r="10" spans="1:71" hidden="1" outlineLevel="1" x14ac:dyDescent="0.3">
      <c r="B10" s="15">
        <f>COUNTIF(B3:B3,"=Permanente")</f>
        <v>1</v>
      </c>
      <c r="F10" s="25"/>
      <c r="O10" s="17" t="s">
        <v>9</v>
      </c>
      <c r="P10" s="15">
        <v>0</v>
      </c>
      <c r="Q10" s="4"/>
      <c r="AI10" s="32">
        <f>SUMIF(B72:B76,AI9,H72:H76)</f>
        <v>0</v>
      </c>
      <c r="AR10" s="15">
        <v>1</v>
      </c>
      <c r="AS10" s="15" t="s">
        <v>83</v>
      </c>
      <c r="BG10" s="21" t="s">
        <v>64</v>
      </c>
      <c r="BH10" s="15" t="s">
        <v>4</v>
      </c>
      <c r="BI10" s="15">
        <v>0.3</v>
      </c>
      <c r="BJ10" s="16">
        <f>BI10*$BI$7</f>
        <v>0.06</v>
      </c>
      <c r="BK10" s="30">
        <f>E6</f>
        <v>0</v>
      </c>
      <c r="BL10" s="15" t="str">
        <f>E7</f>
        <v>I</v>
      </c>
      <c r="BM10" s="1">
        <f>E8</f>
        <v>0</v>
      </c>
      <c r="BN10" s="25">
        <f>(0.67*BM10+0.33*BM11)*BI10</f>
        <v>0</v>
      </c>
      <c r="BO10" s="1"/>
    </row>
    <row r="11" spans="1:71" hidden="1" outlineLevel="1" x14ac:dyDescent="0.3">
      <c r="B11" s="17" t="s">
        <v>104</v>
      </c>
      <c r="O11" s="16">
        <f>COUNTIFS(B3:B3,"=Permanente",O3:O3,"=0")/B10</f>
        <v>1</v>
      </c>
      <c r="P11" s="17" t="s">
        <v>81</v>
      </c>
      <c r="AR11" s="17" t="s">
        <v>47</v>
      </c>
      <c r="BG11" s="21" t="s">
        <v>87</v>
      </c>
      <c r="BH11" s="15" t="s">
        <v>78</v>
      </c>
      <c r="BJ11" s="16"/>
      <c r="BK11" s="58">
        <f>F6</f>
        <v>0</v>
      </c>
      <c r="BL11" s="15" t="str">
        <f>F7</f>
        <v>I</v>
      </c>
      <c r="BM11" s="1">
        <f>F8</f>
        <v>0</v>
      </c>
      <c r="BN11" s="7"/>
      <c r="BO11" s="1"/>
      <c r="BQ11" s="1"/>
    </row>
    <row r="12" spans="1:71" hidden="1" outlineLevel="1" x14ac:dyDescent="0.3">
      <c r="B12" s="16">
        <f>B10/B6</f>
        <v>1</v>
      </c>
      <c r="O12" s="17" t="str">
        <f>IF(O11&lt;0.15,"MB",IF(AND(O11&gt;0.35,O11&lt;=0.45),"F",IF(AND(O11&gt;0.25,O11&lt;=0.35),"R",IF(AND(O11&gt;0.15,O11&lt;=0.25),"B","I"))))</f>
        <v>I</v>
      </c>
      <c r="P12" s="4">
        <f>P6+P10*P8/LARGE(P8,1)*MEDIAN(P3)</f>
        <v>0</v>
      </c>
      <c r="AR12" s="15">
        <v>0</v>
      </c>
      <c r="BG12" s="21" t="s">
        <v>63</v>
      </c>
      <c r="BH12" s="15" t="s">
        <v>6</v>
      </c>
      <c r="BI12" s="15">
        <v>0.3</v>
      </c>
      <c r="BJ12" s="16">
        <f>BI12*$BI$7</f>
        <v>0.06</v>
      </c>
      <c r="BK12" s="31">
        <f>M6</f>
        <v>0</v>
      </c>
      <c r="BL12" s="15" t="str">
        <f>M7</f>
        <v>I</v>
      </c>
      <c r="BM12" s="1">
        <f>M8</f>
        <v>0</v>
      </c>
      <c r="BN12" s="25">
        <f>BM12*BI12</f>
        <v>0</v>
      </c>
      <c r="BO12" s="1"/>
      <c r="BQ12" s="1"/>
    </row>
    <row r="13" spans="1:71" hidden="1" outlineLevel="1" x14ac:dyDescent="0.3">
      <c r="B13" s="6" t="str">
        <f>IF(B12&gt;0.7,"OK","REDUZIR DC")</f>
        <v>OK</v>
      </c>
      <c r="O13" s="15">
        <f>SUMIF(B57:B61,O12,H57:H61)</f>
        <v>0</v>
      </c>
      <c r="P13" s="17" t="str">
        <f>IF(P12&lt;0.2,"I",IF(AND(P12&gt;=0.2,P12&lt;0.3),"F",IF(AND(P12&gt;=0.3,P12&lt;0.4),"R",IF(AND(P12&gt;=0.4,P12&lt;0.5),"B","MB"))))</f>
        <v>I</v>
      </c>
      <c r="AR13" s="17" t="s">
        <v>81</v>
      </c>
      <c r="BG13" s="21" t="s">
        <v>57</v>
      </c>
      <c r="BH13" s="11" t="s">
        <v>50</v>
      </c>
      <c r="BI13" s="15">
        <v>0.1</v>
      </c>
      <c r="BJ13" s="16">
        <f>BI13*$BI$7</f>
        <v>2.0000000000000004E-2</v>
      </c>
      <c r="BK13" s="62">
        <f>N6</f>
        <v>0</v>
      </c>
      <c r="BL13" s="15" t="str">
        <f>N7</f>
        <v>I</v>
      </c>
      <c r="BM13" s="1">
        <f>N8</f>
        <v>0</v>
      </c>
      <c r="BN13" s="25">
        <f>BM13*BI13</f>
        <v>0</v>
      </c>
      <c r="BO13" s="1"/>
      <c r="BQ13" s="1"/>
    </row>
    <row r="14" spans="1:71" s="17" customFormat="1" hidden="1" outlineLevel="1" x14ac:dyDescent="0.3">
      <c r="A14" s="38"/>
      <c r="O14" s="56"/>
      <c r="P14" s="32">
        <f>SUMIF(B62:B66,P13,H62:H66)</f>
        <v>0</v>
      </c>
      <c r="AR14" s="4">
        <f>AR8+AR12*AR10/LARGE(AR10,1)*MEDIAN(AR3)</f>
        <v>0</v>
      </c>
      <c r="AS14" s="15"/>
      <c r="BG14" s="21"/>
      <c r="BH14" s="15"/>
      <c r="BI14" s="15"/>
      <c r="BJ14" s="16"/>
      <c r="BK14" s="12"/>
      <c r="BL14" s="15"/>
      <c r="BM14" s="1"/>
      <c r="BN14" s="25"/>
      <c r="BO14" s="1"/>
      <c r="BP14" s="15"/>
      <c r="BQ14" s="1"/>
    </row>
    <row r="15" spans="1:71" s="17" customFormat="1" hidden="1" outlineLevel="1" x14ac:dyDescent="0.3">
      <c r="A15" s="38"/>
      <c r="O15" s="17" t="s">
        <v>10</v>
      </c>
      <c r="P15" s="56"/>
      <c r="AR15" s="17" t="str">
        <f>IF(AR14&lt;0.1,"I",IF(AND(AR14&gt;=0.1,AR14&lt;0.15),"F",IF(AND(AR14&gt;=0.15,AR14&lt;0.2),"R",IF(AND(AR14&gt;=0.2,AR14&lt;0.25),"B","MB"))))</f>
        <v>I</v>
      </c>
      <c r="AS15" s="15"/>
      <c r="BG15" s="20" t="s">
        <v>71</v>
      </c>
      <c r="BI15" s="18">
        <v>0.35</v>
      </c>
      <c r="BJ15" s="18"/>
      <c r="BK15" s="14"/>
      <c r="BM15" s="1"/>
      <c r="BN15" s="24">
        <f>SUM(BN16:BN19)</f>
        <v>0</v>
      </c>
      <c r="BO15" s="17" t="str">
        <f>IF(BN15&lt;2,"I",IF(AND(BN15&gt;=2,BN15&lt;4),"F",IF(AND(BN15&gt;=4,BN15&lt;6),"R",IF(AND(BN15&gt;=6,BN15&lt;8),"B","MB"))))</f>
        <v>I</v>
      </c>
      <c r="BP15" s="15"/>
      <c r="BQ15" s="1"/>
    </row>
    <row r="16" spans="1:71" hidden="1" outlineLevel="1" x14ac:dyDescent="0.3">
      <c r="A16" t="s">
        <v>133</v>
      </c>
      <c r="B16" t="s">
        <v>140</v>
      </c>
      <c r="C16" t="s">
        <v>134</v>
      </c>
      <c r="D16" t="s">
        <v>135</v>
      </c>
      <c r="E16" t="s">
        <v>136</v>
      </c>
      <c r="F16" t="s">
        <v>137</v>
      </c>
      <c r="G16" t="s">
        <v>138</v>
      </c>
      <c r="H16" t="s">
        <v>139</v>
      </c>
      <c r="O16" s="15">
        <f>SUMIF(B3:B3,"=Permanente",O3:O3)+SUMIF(B3:B3,"=Colaborador",O3:O3)</f>
        <v>0</v>
      </c>
      <c r="AR16" s="32">
        <f>SUMIF(B82:B86,AR15,H82:H86)</f>
        <v>0</v>
      </c>
      <c r="AS16" s="17"/>
      <c r="BG16" s="21" t="s">
        <v>58</v>
      </c>
      <c r="BH16" s="15" t="s">
        <v>8</v>
      </c>
      <c r="BI16" s="15">
        <v>0.3</v>
      </c>
      <c r="BJ16" s="16">
        <f>BI16*$BI$15</f>
        <v>0.105</v>
      </c>
      <c r="BK16" s="13">
        <f>O6</f>
        <v>0</v>
      </c>
      <c r="BL16" s="15" t="str">
        <f>O7</f>
        <v>I</v>
      </c>
      <c r="BM16" s="1">
        <f>O8</f>
        <v>0</v>
      </c>
      <c r="BN16" s="8">
        <f>BM16*BI16</f>
        <v>0</v>
      </c>
      <c r="BO16" s="1"/>
      <c r="BQ16" s="1"/>
    </row>
    <row r="17" spans="1:71" hidden="1" outlineLevel="1" x14ac:dyDescent="0.3">
      <c r="A17" t="s">
        <v>3</v>
      </c>
      <c r="B17" t="s">
        <v>141</v>
      </c>
      <c r="C17">
        <v>0</v>
      </c>
      <c r="D17">
        <v>0.1</v>
      </c>
      <c r="E17">
        <v>0</v>
      </c>
      <c r="F17">
        <v>2</v>
      </c>
      <c r="G17" s="53">
        <f>$C$6</f>
        <v>0</v>
      </c>
      <c r="H17" s="46">
        <f>(F17-E17)/(D17-C17)*(G17-C17)+E17</f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BG17" s="21" t="s">
        <v>65</v>
      </c>
      <c r="BH17" s="15" t="s">
        <v>9</v>
      </c>
      <c r="BI17" s="15">
        <v>0.1</v>
      </c>
      <c r="BJ17" s="16">
        <f t="shared" ref="BJ17:BJ19" si="4">BI17*$BI$15</f>
        <v>3.4999999999999996E-2</v>
      </c>
      <c r="BK17" s="31">
        <f>O11</f>
        <v>1</v>
      </c>
      <c r="BL17" s="10" t="str">
        <f>O12</f>
        <v>I</v>
      </c>
      <c r="BM17" s="1">
        <f>O13</f>
        <v>0</v>
      </c>
      <c r="BN17" s="8">
        <f>BM17*BI17</f>
        <v>0</v>
      </c>
      <c r="BO17" s="1"/>
      <c r="BQ17" s="1"/>
    </row>
    <row r="18" spans="1:71" hidden="1" outlineLevel="1" x14ac:dyDescent="0.3">
      <c r="A18" t="s">
        <v>3</v>
      </c>
      <c r="B18" t="s">
        <v>96</v>
      </c>
      <c r="C18">
        <v>0.1</v>
      </c>
      <c r="D18">
        <v>0.2</v>
      </c>
      <c r="E18">
        <v>2</v>
      </c>
      <c r="F18">
        <v>4</v>
      </c>
      <c r="G18" s="53">
        <f t="shared" ref="G18:G21" si="5">$C$6</f>
        <v>0</v>
      </c>
      <c r="H18" s="46">
        <f t="shared" ref="H18:H21" si="6">(F18-E18)/(D18-C18)*(G18-C18)+E18</f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BG18" s="21" t="s">
        <v>59</v>
      </c>
      <c r="BH18" s="15" t="s">
        <v>93</v>
      </c>
      <c r="BI18" s="15">
        <v>0.5</v>
      </c>
      <c r="BJ18" s="16">
        <f t="shared" si="4"/>
        <v>0.17499999999999999</v>
      </c>
      <c r="BK18" s="13">
        <f>P12</f>
        <v>0</v>
      </c>
      <c r="BL18" s="15" t="str">
        <f>P13</f>
        <v>I</v>
      </c>
      <c r="BM18" s="1">
        <f>P14</f>
        <v>0</v>
      </c>
      <c r="BN18" s="8">
        <f>BM18*BI18</f>
        <v>0</v>
      </c>
      <c r="BO18" s="1"/>
      <c r="BQ18" s="1"/>
    </row>
    <row r="19" spans="1:71" hidden="1" outlineLevel="1" x14ac:dyDescent="0.3">
      <c r="A19" t="s">
        <v>3</v>
      </c>
      <c r="B19" t="s">
        <v>95</v>
      </c>
      <c r="C19">
        <v>0.2</v>
      </c>
      <c r="D19">
        <v>0.3</v>
      </c>
      <c r="E19">
        <v>4</v>
      </c>
      <c r="F19">
        <v>6</v>
      </c>
      <c r="G19" s="53">
        <f t="shared" si="5"/>
        <v>0</v>
      </c>
      <c r="H19" s="46">
        <f t="shared" si="6"/>
        <v>0</v>
      </c>
      <c r="BG19" s="21" t="s">
        <v>51</v>
      </c>
      <c r="BH19" s="15" t="s">
        <v>35</v>
      </c>
      <c r="BI19" s="15">
        <v>0.1</v>
      </c>
      <c r="BJ19" s="16">
        <f t="shared" si="4"/>
        <v>3.4999999999999996E-2</v>
      </c>
      <c r="BK19" s="12">
        <f>AH6</f>
        <v>100</v>
      </c>
      <c r="BL19" s="15" t="str">
        <f>AH7</f>
        <v>I</v>
      </c>
      <c r="BM19" s="1">
        <f>AH8</f>
        <v>0</v>
      </c>
      <c r="BN19" s="8">
        <f>BM19*BI19</f>
        <v>0</v>
      </c>
      <c r="BO19" s="1"/>
    </row>
    <row r="20" spans="1:71" s="17" customFormat="1" hidden="1" outlineLevel="1" x14ac:dyDescent="0.3">
      <c r="A20" t="s">
        <v>3</v>
      </c>
      <c r="B20" t="s">
        <v>98</v>
      </c>
      <c r="C20">
        <v>0.3</v>
      </c>
      <c r="D20">
        <v>0.4</v>
      </c>
      <c r="E20">
        <v>6</v>
      </c>
      <c r="F20">
        <v>8</v>
      </c>
      <c r="G20" s="53">
        <f t="shared" si="5"/>
        <v>0</v>
      </c>
      <c r="H20" s="46">
        <f t="shared" si="6"/>
        <v>0</v>
      </c>
      <c r="BG20" s="21"/>
      <c r="BH20" s="15"/>
      <c r="BI20" s="15"/>
      <c r="BJ20" s="16"/>
      <c r="BK20" s="12"/>
      <c r="BL20" s="15"/>
      <c r="BM20" s="1"/>
      <c r="BN20" s="25"/>
      <c r="BO20" s="1"/>
      <c r="BP20" s="15"/>
      <c r="BQ20" s="15"/>
    </row>
    <row r="21" spans="1:71" s="17" customFormat="1" hidden="1" outlineLevel="1" x14ac:dyDescent="0.3">
      <c r="A21" t="s">
        <v>3</v>
      </c>
      <c r="B21" t="s">
        <v>92</v>
      </c>
      <c r="C21">
        <v>0.4</v>
      </c>
      <c r="D21">
        <v>1</v>
      </c>
      <c r="E21">
        <v>8</v>
      </c>
      <c r="F21">
        <v>10</v>
      </c>
      <c r="G21" s="53">
        <f t="shared" si="5"/>
        <v>0</v>
      </c>
      <c r="H21" s="46">
        <f t="shared" si="6"/>
        <v>6.6666666666666661</v>
      </c>
      <c r="BG21" s="20" t="s">
        <v>72</v>
      </c>
      <c r="BI21" s="18">
        <v>0.35</v>
      </c>
      <c r="BJ21" s="18"/>
      <c r="BK21" s="14"/>
      <c r="BM21" s="1"/>
      <c r="BN21" s="24">
        <f>SUM(BN22:BN25)</f>
        <v>0</v>
      </c>
      <c r="BO21" s="17" t="str">
        <f>IF(BN21&lt;2,"I",IF(AND(BN21&gt;=2,BN21&lt;4),"F",IF(AND(BN21&gt;=4,BN21&lt;6),"R",IF(AND(BN21&gt;=6,BN21&lt;8),"B","MB"))))</f>
        <v>I</v>
      </c>
      <c r="BP21" s="15"/>
      <c r="BQ21" s="15"/>
      <c r="BR21" s="15"/>
      <c r="BS21" s="15"/>
    </row>
    <row r="22" spans="1:71" hidden="1" outlineLevel="1" x14ac:dyDescent="0.3">
      <c r="A22" t="s">
        <v>142</v>
      </c>
      <c r="B22" t="s">
        <v>141</v>
      </c>
      <c r="C22">
        <v>0</v>
      </c>
      <c r="D22">
        <v>3</v>
      </c>
      <c r="E22">
        <v>0</v>
      </c>
      <c r="F22">
        <v>2</v>
      </c>
      <c r="G22" s="54">
        <f>$D$6</f>
        <v>0</v>
      </c>
      <c r="H22" s="46">
        <f>(F22-E22)/(D22-C22)*(G22-C22)+E22</f>
        <v>0</v>
      </c>
      <c r="Q22" s="26"/>
      <c r="BG22" s="21" t="s">
        <v>60</v>
      </c>
      <c r="BH22" s="15" t="s">
        <v>36</v>
      </c>
      <c r="BI22" s="15">
        <v>0.5</v>
      </c>
      <c r="BJ22" s="16">
        <f>BI22*$BI$21</f>
        <v>0.17499999999999999</v>
      </c>
      <c r="BK22" s="13">
        <f>AI8</f>
        <v>0</v>
      </c>
      <c r="BL22" s="15" t="str">
        <f>AI9</f>
        <v>I</v>
      </c>
      <c r="BM22" s="1">
        <f>AI10</f>
        <v>0</v>
      </c>
      <c r="BN22" s="25">
        <f>BM22*BI22</f>
        <v>0</v>
      </c>
      <c r="BO22" s="1"/>
    </row>
    <row r="23" spans="1:71" hidden="1" outlineLevel="1" x14ac:dyDescent="0.3">
      <c r="A23" t="s">
        <v>142</v>
      </c>
      <c r="B23" t="s">
        <v>96</v>
      </c>
      <c r="C23">
        <v>3</v>
      </c>
      <c r="D23">
        <v>4</v>
      </c>
      <c r="E23">
        <v>2</v>
      </c>
      <c r="F23">
        <v>4</v>
      </c>
      <c r="G23" s="54">
        <f t="shared" ref="G23:G26" si="7">$D$6</f>
        <v>0</v>
      </c>
      <c r="H23" s="46">
        <f t="shared" ref="H23:H25" si="8">(F23-E23)/(D23-C23)*(G23-C23)+E23</f>
        <v>-4</v>
      </c>
      <c r="R23" s="26"/>
      <c r="BG23" s="21" t="s">
        <v>66</v>
      </c>
      <c r="BH23" s="15" t="s">
        <v>41</v>
      </c>
      <c r="BI23" s="15">
        <v>0.3</v>
      </c>
      <c r="BJ23" s="16">
        <f t="shared" ref="BJ23:BJ25" si="9">BI23*$BI$21</f>
        <v>0.105</v>
      </c>
      <c r="BK23" s="31">
        <f>AQ6</f>
        <v>0</v>
      </c>
      <c r="BL23" s="15" t="str">
        <f>AQ7</f>
        <v>I</v>
      </c>
      <c r="BM23" s="1">
        <f>AQ8</f>
        <v>0</v>
      </c>
      <c r="BN23" s="25">
        <f>BM23*BI23</f>
        <v>0</v>
      </c>
      <c r="BO23" s="1"/>
    </row>
    <row r="24" spans="1:71" hidden="1" outlineLevel="1" x14ac:dyDescent="0.3">
      <c r="A24" t="s">
        <v>142</v>
      </c>
      <c r="B24" t="s">
        <v>95</v>
      </c>
      <c r="C24">
        <v>4</v>
      </c>
      <c r="D24">
        <v>5.5</v>
      </c>
      <c r="E24">
        <v>4</v>
      </c>
      <c r="F24">
        <v>6</v>
      </c>
      <c r="G24" s="54">
        <f t="shared" si="7"/>
        <v>0</v>
      </c>
      <c r="H24" s="46">
        <f t="shared" si="8"/>
        <v>-1.333333333333333</v>
      </c>
      <c r="Q24" s="26"/>
      <c r="BG24" s="21" t="s">
        <v>61</v>
      </c>
      <c r="BH24" s="15" t="s">
        <v>94</v>
      </c>
      <c r="BI24" s="15">
        <v>0.2</v>
      </c>
      <c r="BJ24" s="16">
        <f t="shared" si="9"/>
        <v>6.9999999999999993E-2</v>
      </c>
      <c r="BK24" s="13">
        <f>AR14</f>
        <v>0</v>
      </c>
      <c r="BL24" s="15" t="str">
        <f>AR15</f>
        <v>I</v>
      </c>
      <c r="BM24" s="1">
        <f>AR16</f>
        <v>0</v>
      </c>
      <c r="BN24" s="25">
        <f>BM24*BI24</f>
        <v>0</v>
      </c>
      <c r="BO24" s="1"/>
    </row>
    <row r="25" spans="1:71" hidden="1" outlineLevel="1" x14ac:dyDescent="0.3">
      <c r="A25" t="s">
        <v>142</v>
      </c>
      <c r="B25" t="s">
        <v>98</v>
      </c>
      <c r="C25">
        <v>5.5</v>
      </c>
      <c r="D25">
        <v>7</v>
      </c>
      <c r="E25">
        <v>6</v>
      </c>
      <c r="F25">
        <v>8</v>
      </c>
      <c r="G25" s="54">
        <f t="shared" si="7"/>
        <v>0</v>
      </c>
      <c r="H25" s="46">
        <f t="shared" si="8"/>
        <v>-1.333333333333333</v>
      </c>
      <c r="Q25" s="26"/>
      <c r="BG25" s="21" t="s">
        <v>52</v>
      </c>
      <c r="BH25" s="15" t="s">
        <v>97</v>
      </c>
      <c r="BI25" s="15">
        <v>0</v>
      </c>
      <c r="BJ25" s="16">
        <f t="shared" si="9"/>
        <v>0</v>
      </c>
      <c r="BM25" s="1"/>
      <c r="BN25" s="25"/>
    </row>
    <row r="26" spans="1:71" hidden="1" outlineLevel="1" x14ac:dyDescent="0.3">
      <c r="A26" t="s">
        <v>142</v>
      </c>
      <c r="B26" t="s">
        <v>92</v>
      </c>
      <c r="C26">
        <v>7</v>
      </c>
      <c r="D26" s="48">
        <v>10</v>
      </c>
      <c r="E26">
        <v>8</v>
      </c>
      <c r="F26">
        <v>10</v>
      </c>
      <c r="G26" s="54">
        <f t="shared" si="7"/>
        <v>0</v>
      </c>
      <c r="H26" s="46">
        <f>IF(G26&lt;=D26,(F26-E26)/(D26-C26)*(G26-C26)+E26,10)</f>
        <v>3.3333333333333339</v>
      </c>
      <c r="BG26" s="21"/>
      <c r="BJ26" s="16"/>
      <c r="BM26" s="1"/>
      <c r="BN26" s="25"/>
    </row>
    <row r="27" spans="1:71" hidden="1" outlineLevel="1" x14ac:dyDescent="0.3">
      <c r="A27" t="s">
        <v>4</v>
      </c>
      <c r="B27" t="s">
        <v>141</v>
      </c>
      <c r="C27">
        <v>0</v>
      </c>
      <c r="D27">
        <v>0.4</v>
      </c>
      <c r="E27">
        <v>0</v>
      </c>
      <c r="F27">
        <v>2</v>
      </c>
      <c r="G27" s="52">
        <f>$E$6</f>
        <v>0</v>
      </c>
      <c r="H27" s="46">
        <f>(F27-E27)/(D27-C27)*(G27-C27)+E27</f>
        <v>0</v>
      </c>
      <c r="Q27" s="21"/>
      <c r="BG27" s="20" t="s">
        <v>53</v>
      </c>
      <c r="BH27" s="17"/>
      <c r="BI27" s="18">
        <v>0.1</v>
      </c>
      <c r="BJ27" s="18"/>
      <c r="BK27" s="17"/>
      <c r="BL27" s="17"/>
      <c r="BM27" s="1"/>
      <c r="BN27" s="24">
        <f>SUM(BN28:BN30)</f>
        <v>6.6000000000000005</v>
      </c>
      <c r="BO27" s="17" t="str">
        <f>IF(BN27&lt;2,"I",IF(AND(BN27&gt;=2,BN27&lt;4),"F",IF(AND(BN27&gt;=4,BN27&lt;6),"R",IF(AND(BN27&gt;=6,BN27&lt;8),"B","MB"))))</f>
        <v>B</v>
      </c>
    </row>
    <row r="28" spans="1:71" hidden="1" outlineLevel="1" x14ac:dyDescent="0.3">
      <c r="A28" t="s">
        <v>4</v>
      </c>
      <c r="B28" t="s">
        <v>96</v>
      </c>
      <c r="C28">
        <v>0.4</v>
      </c>
      <c r="D28">
        <v>0.6</v>
      </c>
      <c r="E28">
        <v>2</v>
      </c>
      <c r="F28">
        <v>4</v>
      </c>
      <c r="G28" s="52">
        <f t="shared" ref="G28:G36" si="10">$E$6</f>
        <v>0</v>
      </c>
      <c r="H28" s="46">
        <f t="shared" ref="H28:H31" si="11">(F28-E28)/(D28-C28)*(G28-C28)+E28</f>
        <v>-2.0000000000000009</v>
      </c>
      <c r="BG28" s="21" t="s">
        <v>54</v>
      </c>
      <c r="BH28" s="15" t="s">
        <v>50</v>
      </c>
      <c r="BI28" s="15">
        <v>0.6</v>
      </c>
      <c r="BJ28" s="16">
        <f>BI28*$BI$27</f>
        <v>0.06</v>
      </c>
      <c r="BL28" s="15" t="s">
        <v>98</v>
      </c>
      <c r="BM28" s="1">
        <f>IF(BL28="I",1,IF(BL28="F",3,IF(BL28="R",5,IF(BL28="B",7,9))))</f>
        <v>7</v>
      </c>
      <c r="BN28" s="25">
        <f>BM28*BI28</f>
        <v>4.2</v>
      </c>
      <c r="BR28" s="17"/>
      <c r="BS28" s="17"/>
    </row>
    <row r="29" spans="1:71" s="17" customFormat="1" hidden="1" outlineLevel="1" x14ac:dyDescent="0.3">
      <c r="A29" t="s">
        <v>4</v>
      </c>
      <c r="B29" t="s">
        <v>95</v>
      </c>
      <c r="C29">
        <v>0.6</v>
      </c>
      <c r="D29">
        <v>0.8</v>
      </c>
      <c r="E29">
        <v>4</v>
      </c>
      <c r="F29">
        <v>6</v>
      </c>
      <c r="G29" s="52">
        <f t="shared" si="10"/>
        <v>0</v>
      </c>
      <c r="H29" s="46">
        <f t="shared" si="11"/>
        <v>-1.9999999999999973</v>
      </c>
      <c r="BG29" s="21" t="s">
        <v>55</v>
      </c>
      <c r="BH29" s="15" t="s">
        <v>50</v>
      </c>
      <c r="BI29" s="15">
        <v>0.2</v>
      </c>
      <c r="BJ29" s="16">
        <f t="shared" ref="BJ29:BJ30" si="12">BI29*$BI$27</f>
        <v>2.0000000000000004E-2</v>
      </c>
      <c r="BK29" s="15"/>
      <c r="BL29" s="15" t="s">
        <v>98</v>
      </c>
      <c r="BM29" s="1">
        <f t="shared" ref="BM29:BM30" si="13">IF(BL29="I",1,IF(BL29="F",3,IF(BL29="R",5,IF(BL29="B",7,9))))</f>
        <v>7</v>
      </c>
      <c r="BN29" s="25">
        <f>BM29*BI29</f>
        <v>1.4000000000000001</v>
      </c>
      <c r="BO29" s="15"/>
      <c r="BP29" s="15"/>
      <c r="BQ29" s="15"/>
      <c r="BR29" s="15"/>
      <c r="BS29" s="15"/>
    </row>
    <row r="30" spans="1:71" hidden="1" outlineLevel="1" x14ac:dyDescent="0.3">
      <c r="A30" t="s">
        <v>4</v>
      </c>
      <c r="B30" t="s">
        <v>98</v>
      </c>
      <c r="C30">
        <v>0.8</v>
      </c>
      <c r="D30">
        <v>1</v>
      </c>
      <c r="E30">
        <v>6</v>
      </c>
      <c r="F30">
        <v>8</v>
      </c>
      <c r="G30" s="52">
        <f t="shared" si="10"/>
        <v>0</v>
      </c>
      <c r="H30" s="46">
        <f t="shared" si="11"/>
        <v>-2.0000000000000018</v>
      </c>
      <c r="BG30" s="21" t="s">
        <v>56</v>
      </c>
      <c r="BH30" s="15" t="s">
        <v>50</v>
      </c>
      <c r="BI30" s="15">
        <v>0.2</v>
      </c>
      <c r="BJ30" s="16">
        <f t="shared" si="12"/>
        <v>2.0000000000000004E-2</v>
      </c>
      <c r="BL30" s="15" t="s">
        <v>95</v>
      </c>
      <c r="BM30" s="1">
        <f t="shared" si="13"/>
        <v>5</v>
      </c>
      <c r="BN30" s="25">
        <f>BM30*BI30</f>
        <v>1</v>
      </c>
      <c r="BP30" s="17"/>
      <c r="BQ30" s="17"/>
    </row>
    <row r="31" spans="1:71" hidden="1" outlineLevel="1" x14ac:dyDescent="0.3">
      <c r="A31" t="s">
        <v>4</v>
      </c>
      <c r="B31" t="s">
        <v>92</v>
      </c>
      <c r="C31">
        <v>1</v>
      </c>
      <c r="D31">
        <v>2</v>
      </c>
      <c r="E31">
        <v>8</v>
      </c>
      <c r="F31">
        <v>10</v>
      </c>
      <c r="G31" s="52">
        <f t="shared" si="10"/>
        <v>0</v>
      </c>
      <c r="H31" s="46">
        <f t="shared" si="11"/>
        <v>6</v>
      </c>
      <c r="T31" s="27"/>
      <c r="BG31" s="20"/>
      <c r="BH31" s="17"/>
      <c r="BI31" s="17"/>
      <c r="BJ31" s="17"/>
      <c r="BK31" s="17"/>
      <c r="BL31" s="17"/>
      <c r="BM31" s="17"/>
      <c r="BN31" s="17"/>
      <c r="BO31" s="17"/>
      <c r="BP31" s="17"/>
      <c r="BQ31" s="17"/>
    </row>
    <row r="32" spans="1:71" hidden="1" outlineLevel="1" x14ac:dyDescent="0.3">
      <c r="A32" s="63" t="s">
        <v>4</v>
      </c>
      <c r="B32" s="63" t="s">
        <v>141</v>
      </c>
      <c r="C32" s="63">
        <v>4.5</v>
      </c>
      <c r="D32" s="48">
        <v>5</v>
      </c>
      <c r="E32" s="63">
        <v>0</v>
      </c>
      <c r="F32" s="63">
        <v>2</v>
      </c>
      <c r="G32" s="64">
        <f t="shared" si="10"/>
        <v>0</v>
      </c>
      <c r="H32" s="65">
        <f>IF(G32&lt;=D32,(F32-E32)/(D32-C32)*(D32-G32)+E32,0)</f>
        <v>20</v>
      </c>
      <c r="Q32" s="21"/>
      <c r="Y32" s="16"/>
      <c r="BG32" s="20"/>
      <c r="BH32" s="17"/>
      <c r="BI32" s="17"/>
      <c r="BJ32" s="17"/>
      <c r="BK32" s="17"/>
      <c r="BL32" s="17"/>
      <c r="BM32" s="17"/>
      <c r="BN32" s="9"/>
      <c r="BO32" s="17"/>
    </row>
    <row r="33" spans="1:71" hidden="1" outlineLevel="1" x14ac:dyDescent="0.3">
      <c r="A33" s="63" t="s">
        <v>4</v>
      </c>
      <c r="B33" s="63" t="s">
        <v>96</v>
      </c>
      <c r="C33" s="63">
        <v>4</v>
      </c>
      <c r="D33" s="63">
        <v>4.5</v>
      </c>
      <c r="E33" s="63">
        <v>2</v>
      </c>
      <c r="F33" s="63">
        <v>4</v>
      </c>
      <c r="G33" s="64">
        <f t="shared" si="10"/>
        <v>0</v>
      </c>
      <c r="H33" s="65">
        <f t="shared" ref="H33:H36" si="14">(F33-E33)/(D33-C33)*(D33-G33)+E33</f>
        <v>20</v>
      </c>
      <c r="Y33" s="16"/>
    </row>
    <row r="34" spans="1:71" hidden="1" outlineLevel="1" x14ac:dyDescent="0.3">
      <c r="A34" s="63" t="s">
        <v>4</v>
      </c>
      <c r="B34" s="63" t="s">
        <v>95</v>
      </c>
      <c r="C34" s="63">
        <v>3.5</v>
      </c>
      <c r="D34" s="63">
        <v>4</v>
      </c>
      <c r="E34" s="63">
        <v>4</v>
      </c>
      <c r="F34" s="63">
        <v>6</v>
      </c>
      <c r="G34" s="64">
        <f t="shared" si="10"/>
        <v>0</v>
      </c>
      <c r="H34" s="65">
        <f t="shared" si="14"/>
        <v>20</v>
      </c>
      <c r="Y34" s="16"/>
      <c r="BG34" s="17"/>
      <c r="BM34" s="17"/>
      <c r="BN34" s="17"/>
      <c r="BO34" s="17"/>
      <c r="BR34" s="17"/>
      <c r="BS34" s="17"/>
    </row>
    <row r="35" spans="1:71" s="17" customFormat="1" hidden="1" outlineLevel="1" x14ac:dyDescent="0.3">
      <c r="A35" s="63" t="s">
        <v>4</v>
      </c>
      <c r="B35" s="63" t="s">
        <v>98</v>
      </c>
      <c r="C35" s="63">
        <v>3</v>
      </c>
      <c r="D35" s="63">
        <v>3.5</v>
      </c>
      <c r="E35" s="63">
        <v>6</v>
      </c>
      <c r="F35" s="63">
        <v>8</v>
      </c>
      <c r="G35" s="64">
        <f t="shared" si="10"/>
        <v>0</v>
      </c>
      <c r="H35" s="65">
        <f t="shared" si="14"/>
        <v>20</v>
      </c>
      <c r="Y35" s="16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</row>
    <row r="36" spans="1:71" s="17" customFormat="1" hidden="1" outlineLevel="1" x14ac:dyDescent="0.3">
      <c r="A36" s="63" t="s">
        <v>4</v>
      </c>
      <c r="B36" s="63" t="s">
        <v>92</v>
      </c>
      <c r="C36" s="63">
        <v>2</v>
      </c>
      <c r="D36" s="63">
        <v>3</v>
      </c>
      <c r="E36" s="63">
        <v>8</v>
      </c>
      <c r="F36" s="63">
        <v>10</v>
      </c>
      <c r="G36" s="64">
        <f t="shared" si="10"/>
        <v>0</v>
      </c>
      <c r="H36" s="65">
        <f t="shared" si="14"/>
        <v>14</v>
      </c>
      <c r="Y36" s="16"/>
      <c r="BG36" s="33"/>
      <c r="BH36" s="15"/>
      <c r="BI36" s="15"/>
      <c r="BJ36" s="15"/>
      <c r="BK36" s="15"/>
      <c r="BL36" s="15"/>
      <c r="BM36" s="15"/>
      <c r="BN36" s="1"/>
      <c r="BO36" s="16"/>
      <c r="BR36" s="15"/>
      <c r="BS36" s="15"/>
    </row>
    <row r="37" spans="1:71" hidden="1" outlineLevel="1" x14ac:dyDescent="0.3">
      <c r="A37" t="s">
        <v>78</v>
      </c>
      <c r="B37" t="s">
        <v>141</v>
      </c>
      <c r="C37">
        <v>0</v>
      </c>
      <c r="D37">
        <v>1</v>
      </c>
      <c r="E37">
        <v>0</v>
      </c>
      <c r="F37">
        <v>2</v>
      </c>
      <c r="G37" s="51">
        <f>$F$6</f>
        <v>0</v>
      </c>
      <c r="H37" s="46">
        <f>(F37-E37)/(D37-C37)*(G37-C37)+E37</f>
        <v>0</v>
      </c>
      <c r="Y37" s="16"/>
    </row>
    <row r="38" spans="1:71" hidden="1" outlineLevel="1" x14ac:dyDescent="0.3">
      <c r="A38" t="s">
        <v>78</v>
      </c>
      <c r="B38" t="s">
        <v>96</v>
      </c>
      <c r="C38">
        <v>1</v>
      </c>
      <c r="D38">
        <v>2</v>
      </c>
      <c r="E38">
        <v>2</v>
      </c>
      <c r="F38">
        <v>4</v>
      </c>
      <c r="G38" s="51">
        <f t="shared" ref="G38:G41" si="15">$F$6</f>
        <v>0</v>
      </c>
      <c r="H38" s="46">
        <f t="shared" ref="H38:H41" si="16">(F38-E38)/(D38-C38)*(G38-C38)+E38</f>
        <v>0</v>
      </c>
      <c r="Y38" s="16"/>
    </row>
    <row r="39" spans="1:71" ht="17.100000000000001" hidden="1" customHeight="1" outlineLevel="1" x14ac:dyDescent="0.3">
      <c r="A39" t="s">
        <v>78</v>
      </c>
      <c r="B39" t="s">
        <v>95</v>
      </c>
      <c r="C39">
        <v>2</v>
      </c>
      <c r="D39">
        <v>3</v>
      </c>
      <c r="E39">
        <v>4</v>
      </c>
      <c r="F39">
        <v>6</v>
      </c>
      <c r="G39" s="51">
        <f t="shared" si="15"/>
        <v>0</v>
      </c>
      <c r="H39" s="46">
        <f t="shared" si="16"/>
        <v>0</v>
      </c>
      <c r="Q39" s="21"/>
      <c r="Y39" s="16"/>
    </row>
    <row r="40" spans="1:71" hidden="1" outlineLevel="1" x14ac:dyDescent="0.3">
      <c r="A40" t="s">
        <v>78</v>
      </c>
      <c r="B40" t="s">
        <v>98</v>
      </c>
      <c r="C40">
        <v>3</v>
      </c>
      <c r="D40">
        <v>4</v>
      </c>
      <c r="E40">
        <v>6</v>
      </c>
      <c r="F40">
        <v>8</v>
      </c>
      <c r="G40" s="51">
        <f t="shared" si="15"/>
        <v>0</v>
      </c>
      <c r="H40" s="46">
        <f t="shared" si="16"/>
        <v>0</v>
      </c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</row>
    <row r="41" spans="1:71" hidden="1" outlineLevel="1" x14ac:dyDescent="0.3">
      <c r="A41" t="s">
        <v>78</v>
      </c>
      <c r="B41" t="s">
        <v>92</v>
      </c>
      <c r="C41">
        <v>4</v>
      </c>
      <c r="D41">
        <v>5</v>
      </c>
      <c r="E41">
        <v>8</v>
      </c>
      <c r="F41">
        <v>10</v>
      </c>
      <c r="G41" s="51">
        <f t="shared" si="15"/>
        <v>0</v>
      </c>
      <c r="H41" s="46">
        <f t="shared" si="16"/>
        <v>0</v>
      </c>
    </row>
    <row r="42" spans="1:71" s="17" customFormat="1" hidden="1" outlineLevel="1" x14ac:dyDescent="0.3">
      <c r="A42" t="s">
        <v>6</v>
      </c>
      <c r="B42" t="s">
        <v>141</v>
      </c>
      <c r="C42">
        <v>0</v>
      </c>
      <c r="D42">
        <v>0.2</v>
      </c>
      <c r="E42">
        <v>0</v>
      </c>
      <c r="F42">
        <v>2</v>
      </c>
      <c r="G42" s="55">
        <f>$M$6</f>
        <v>0</v>
      </c>
      <c r="H42" s="46">
        <f>(F42-E42)/(D42-C42)*(G42-C42)+E42</f>
        <v>0</v>
      </c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</row>
    <row r="43" spans="1:71" hidden="1" outlineLevel="1" x14ac:dyDescent="0.3">
      <c r="A43" t="s">
        <v>6</v>
      </c>
      <c r="B43" t="s">
        <v>96</v>
      </c>
      <c r="C43">
        <v>0.2</v>
      </c>
      <c r="D43">
        <v>0.3</v>
      </c>
      <c r="E43">
        <v>2</v>
      </c>
      <c r="F43">
        <v>4</v>
      </c>
      <c r="G43" s="55">
        <f t="shared" ref="G43:G46" si="17">$M$6</f>
        <v>0</v>
      </c>
      <c r="H43" s="46">
        <f t="shared" ref="H43:H46" si="18">(F43-E43)/(D43-C43)*(G43-C43)+E43</f>
        <v>-2.0000000000000009</v>
      </c>
    </row>
    <row r="44" spans="1:71" hidden="1" outlineLevel="1" x14ac:dyDescent="0.3">
      <c r="A44" t="s">
        <v>6</v>
      </c>
      <c r="B44" t="s">
        <v>95</v>
      </c>
      <c r="C44">
        <v>0.3</v>
      </c>
      <c r="D44">
        <v>0.45</v>
      </c>
      <c r="E44">
        <v>4</v>
      </c>
      <c r="F44">
        <v>6</v>
      </c>
      <c r="G44" s="55">
        <f t="shared" si="17"/>
        <v>0</v>
      </c>
      <c r="H44" s="46">
        <f t="shared" si="18"/>
        <v>0</v>
      </c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</row>
    <row r="45" spans="1:71" hidden="1" outlineLevel="1" x14ac:dyDescent="0.3">
      <c r="A45" t="s">
        <v>6</v>
      </c>
      <c r="B45" t="s">
        <v>98</v>
      </c>
      <c r="C45">
        <v>0.45</v>
      </c>
      <c r="D45">
        <v>0.6</v>
      </c>
      <c r="E45">
        <v>6</v>
      </c>
      <c r="F45">
        <v>8</v>
      </c>
      <c r="G45" s="55">
        <f t="shared" si="17"/>
        <v>0</v>
      </c>
      <c r="H45" s="46">
        <f t="shared" si="18"/>
        <v>0</v>
      </c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</row>
    <row r="46" spans="1:71" s="17" customFormat="1" hidden="1" outlineLevel="1" x14ac:dyDescent="0.3">
      <c r="A46" t="s">
        <v>6</v>
      </c>
      <c r="B46" t="s">
        <v>92</v>
      </c>
      <c r="C46">
        <v>0.6</v>
      </c>
      <c r="D46">
        <v>1</v>
      </c>
      <c r="E46">
        <v>8</v>
      </c>
      <c r="F46">
        <v>10</v>
      </c>
      <c r="G46" s="55">
        <f t="shared" si="17"/>
        <v>0</v>
      </c>
      <c r="H46" s="46">
        <f t="shared" si="18"/>
        <v>5</v>
      </c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</row>
    <row r="47" spans="1:71" s="17" customFormat="1" hidden="1" outlineLevel="1" x14ac:dyDescent="0.3">
      <c r="A47" t="s">
        <v>8</v>
      </c>
      <c r="B47" t="s">
        <v>141</v>
      </c>
      <c r="C47">
        <v>0</v>
      </c>
      <c r="D47">
        <v>0.4</v>
      </c>
      <c r="E47">
        <v>0</v>
      </c>
      <c r="F47">
        <v>2</v>
      </c>
      <c r="G47" s="57">
        <f>$O$6</f>
        <v>0</v>
      </c>
      <c r="H47" s="46">
        <f>(F47-E47)/(D47-C47)*(G47-C47)+E47</f>
        <v>0</v>
      </c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</row>
    <row r="48" spans="1:71" hidden="1" outlineLevel="1" x14ac:dyDescent="0.3">
      <c r="A48" t="s">
        <v>8</v>
      </c>
      <c r="B48" t="s">
        <v>96</v>
      </c>
      <c r="C48">
        <v>0.4</v>
      </c>
      <c r="D48">
        <v>0.7</v>
      </c>
      <c r="E48">
        <v>2</v>
      </c>
      <c r="F48">
        <v>4</v>
      </c>
      <c r="G48" s="57">
        <f t="shared" ref="G48:G56" si="19">$O$6</f>
        <v>0</v>
      </c>
      <c r="H48" s="46">
        <f t="shared" ref="H48:H51" si="20">(F48-E48)/(D48-C48)*(G48-C48)+E48</f>
        <v>-0.66666666666666741</v>
      </c>
    </row>
    <row r="49" spans="1:8" hidden="1" outlineLevel="1" x14ac:dyDescent="0.3">
      <c r="A49" t="s">
        <v>8</v>
      </c>
      <c r="B49" t="s">
        <v>95</v>
      </c>
      <c r="C49">
        <v>0.7</v>
      </c>
      <c r="D49">
        <v>1</v>
      </c>
      <c r="E49">
        <v>4</v>
      </c>
      <c r="F49">
        <v>6</v>
      </c>
      <c r="G49" s="57">
        <f t="shared" si="19"/>
        <v>0</v>
      </c>
      <c r="H49" s="46">
        <f t="shared" si="20"/>
        <v>-0.66666666666666607</v>
      </c>
    </row>
    <row r="50" spans="1:8" hidden="1" outlineLevel="1" x14ac:dyDescent="0.3">
      <c r="A50" t="s">
        <v>8</v>
      </c>
      <c r="B50" t="s">
        <v>98</v>
      </c>
      <c r="C50">
        <v>1</v>
      </c>
      <c r="D50">
        <v>1.5</v>
      </c>
      <c r="E50">
        <v>6</v>
      </c>
      <c r="F50">
        <v>8</v>
      </c>
      <c r="G50" s="57">
        <f t="shared" si="19"/>
        <v>0</v>
      </c>
      <c r="H50" s="46">
        <f t="shared" si="20"/>
        <v>2</v>
      </c>
    </row>
    <row r="51" spans="1:8" hidden="1" outlineLevel="1" x14ac:dyDescent="0.3">
      <c r="A51" t="s">
        <v>8</v>
      </c>
      <c r="B51" t="s">
        <v>92</v>
      </c>
      <c r="C51">
        <v>1.5</v>
      </c>
      <c r="D51">
        <f>1.5+(5-1.5)/2</f>
        <v>3.25</v>
      </c>
      <c r="E51">
        <v>8</v>
      </c>
      <c r="F51">
        <v>10</v>
      </c>
      <c r="G51" s="57">
        <f t="shared" si="19"/>
        <v>0</v>
      </c>
      <c r="H51" s="46">
        <f t="shared" si="20"/>
        <v>6.2857142857142856</v>
      </c>
    </row>
    <row r="52" spans="1:8" hidden="1" outlineLevel="1" x14ac:dyDescent="0.3">
      <c r="A52" s="63" t="s">
        <v>8</v>
      </c>
      <c r="B52" s="63" t="s">
        <v>141</v>
      </c>
      <c r="C52" s="63">
        <v>10</v>
      </c>
      <c r="D52" s="48">
        <v>12</v>
      </c>
      <c r="E52" s="63">
        <v>0</v>
      </c>
      <c r="F52" s="63">
        <v>2</v>
      </c>
      <c r="G52" s="66">
        <f t="shared" si="19"/>
        <v>0</v>
      </c>
      <c r="H52" s="65">
        <f>IF(G52&lt;=D52,(F52-E52)/(D52-C52)*(D52-G52)+E52,0)</f>
        <v>12</v>
      </c>
    </row>
    <row r="53" spans="1:8" hidden="1" outlineLevel="1" x14ac:dyDescent="0.3">
      <c r="A53" s="63" t="s">
        <v>8</v>
      </c>
      <c r="B53" s="63" t="s">
        <v>96</v>
      </c>
      <c r="C53" s="63">
        <v>8</v>
      </c>
      <c r="D53" s="63">
        <v>10</v>
      </c>
      <c r="E53" s="63">
        <v>2</v>
      </c>
      <c r="F53" s="63">
        <v>4</v>
      </c>
      <c r="G53" s="66">
        <f t="shared" si="19"/>
        <v>0</v>
      </c>
      <c r="H53" s="65">
        <f t="shared" ref="H53:H56" si="21">(F53-E53)/(D53-C53)*(D53-G53)+E53</f>
        <v>12</v>
      </c>
    </row>
    <row r="54" spans="1:8" hidden="1" outlineLevel="1" x14ac:dyDescent="0.3">
      <c r="A54" s="63" t="s">
        <v>8</v>
      </c>
      <c r="B54" s="63" t="s">
        <v>95</v>
      </c>
      <c r="C54" s="63">
        <v>6</v>
      </c>
      <c r="D54" s="63">
        <v>8</v>
      </c>
      <c r="E54" s="63">
        <v>4</v>
      </c>
      <c r="F54" s="63">
        <v>6</v>
      </c>
      <c r="G54" s="66">
        <f t="shared" si="19"/>
        <v>0</v>
      </c>
      <c r="H54" s="65">
        <f t="shared" si="21"/>
        <v>12</v>
      </c>
    </row>
    <row r="55" spans="1:8" hidden="1" outlineLevel="1" x14ac:dyDescent="0.3">
      <c r="A55" s="63" t="s">
        <v>8</v>
      </c>
      <c r="B55" s="63" t="s">
        <v>98</v>
      </c>
      <c r="C55" s="63">
        <v>5</v>
      </c>
      <c r="D55" s="63">
        <v>6</v>
      </c>
      <c r="E55" s="63">
        <v>6</v>
      </c>
      <c r="F55" s="63">
        <v>8</v>
      </c>
      <c r="G55" s="66">
        <f t="shared" si="19"/>
        <v>0</v>
      </c>
      <c r="H55" s="65">
        <f t="shared" si="21"/>
        <v>18</v>
      </c>
    </row>
    <row r="56" spans="1:8" hidden="1" outlineLevel="1" x14ac:dyDescent="0.3">
      <c r="A56" s="63" t="s">
        <v>8</v>
      </c>
      <c r="B56" s="63" t="s">
        <v>92</v>
      </c>
      <c r="C56" s="63">
        <v>3.25</v>
      </c>
      <c r="D56" s="63">
        <v>5</v>
      </c>
      <c r="E56" s="63">
        <v>8</v>
      </c>
      <c r="F56" s="63">
        <v>10</v>
      </c>
      <c r="G56" s="66">
        <f t="shared" si="19"/>
        <v>0</v>
      </c>
      <c r="H56" s="65">
        <f t="shared" si="21"/>
        <v>13.714285714285714</v>
      </c>
    </row>
    <row r="57" spans="1:8" hidden="1" outlineLevel="1" x14ac:dyDescent="0.3">
      <c r="A57" s="63" t="s">
        <v>9</v>
      </c>
      <c r="B57" s="63" t="s">
        <v>141</v>
      </c>
      <c r="C57" s="63">
        <v>0.45</v>
      </c>
      <c r="D57" s="63">
        <v>1</v>
      </c>
      <c r="E57" s="63">
        <v>0</v>
      </c>
      <c r="F57" s="63">
        <v>2</v>
      </c>
      <c r="G57" s="67">
        <f>$O$11</f>
        <v>1</v>
      </c>
      <c r="H57" s="65">
        <f>(F57-E57)/(D57-C57)*(D57-G57)+E57</f>
        <v>0</v>
      </c>
    </row>
    <row r="58" spans="1:8" hidden="1" outlineLevel="1" x14ac:dyDescent="0.3">
      <c r="A58" s="63" t="s">
        <v>9</v>
      </c>
      <c r="B58" s="63" t="s">
        <v>96</v>
      </c>
      <c r="C58" s="63">
        <v>0.35</v>
      </c>
      <c r="D58" s="63">
        <v>0.45</v>
      </c>
      <c r="E58" s="63">
        <v>2</v>
      </c>
      <c r="F58" s="63">
        <v>4</v>
      </c>
      <c r="G58" s="67">
        <f>$O$11</f>
        <v>1</v>
      </c>
      <c r="H58" s="65">
        <f t="shared" ref="H58:H61" si="22">(F58-E58)/(D58-C58)*(D58-G58)+E58</f>
        <v>-8.9999999999999964</v>
      </c>
    </row>
    <row r="59" spans="1:8" hidden="1" outlineLevel="1" x14ac:dyDescent="0.3">
      <c r="A59" s="63" t="s">
        <v>9</v>
      </c>
      <c r="B59" s="63" t="s">
        <v>95</v>
      </c>
      <c r="C59" s="63">
        <v>0.25</v>
      </c>
      <c r="D59" s="63">
        <v>0.35</v>
      </c>
      <c r="E59" s="63">
        <v>4</v>
      </c>
      <c r="F59" s="63">
        <v>6</v>
      </c>
      <c r="G59" s="67">
        <f>$O$11</f>
        <v>1</v>
      </c>
      <c r="H59" s="65">
        <f t="shared" si="22"/>
        <v>-9.0000000000000036</v>
      </c>
    </row>
    <row r="60" spans="1:8" hidden="1" outlineLevel="1" x14ac:dyDescent="0.3">
      <c r="A60" s="63" t="s">
        <v>9</v>
      </c>
      <c r="B60" s="63" t="s">
        <v>98</v>
      </c>
      <c r="C60" s="63">
        <v>0.15</v>
      </c>
      <c r="D60" s="63">
        <v>0.25</v>
      </c>
      <c r="E60" s="63">
        <v>6</v>
      </c>
      <c r="F60" s="63">
        <v>8</v>
      </c>
      <c r="G60" s="67">
        <f>$O$11</f>
        <v>1</v>
      </c>
      <c r="H60" s="65">
        <f t="shared" si="22"/>
        <v>-9</v>
      </c>
    </row>
    <row r="61" spans="1:8" hidden="1" outlineLevel="1" x14ac:dyDescent="0.3">
      <c r="A61" s="63" t="s">
        <v>9</v>
      </c>
      <c r="B61" s="63" t="s">
        <v>92</v>
      </c>
      <c r="C61" s="63">
        <v>0</v>
      </c>
      <c r="D61" s="63">
        <v>0.15</v>
      </c>
      <c r="E61" s="63">
        <v>8</v>
      </c>
      <c r="F61" s="63">
        <v>10</v>
      </c>
      <c r="G61" s="67">
        <f>$O$11</f>
        <v>1</v>
      </c>
      <c r="H61" s="65">
        <f t="shared" si="22"/>
        <v>-3.3333333333333339</v>
      </c>
    </row>
    <row r="62" spans="1:8" hidden="1" outlineLevel="1" x14ac:dyDescent="0.3">
      <c r="A62" s="47" t="s">
        <v>143</v>
      </c>
      <c r="B62" t="s">
        <v>141</v>
      </c>
      <c r="C62">
        <v>0</v>
      </c>
      <c r="D62">
        <v>0.2</v>
      </c>
      <c r="E62">
        <v>0</v>
      </c>
      <c r="F62">
        <v>2</v>
      </c>
      <c r="G62" s="57">
        <f>$P$12</f>
        <v>0</v>
      </c>
      <c r="H62" s="46">
        <f>(F62-E62)/(D62-C62)*(G62-C62)+E62</f>
        <v>0</v>
      </c>
    </row>
    <row r="63" spans="1:8" hidden="1" outlineLevel="1" x14ac:dyDescent="0.3">
      <c r="A63" s="47" t="s">
        <v>143</v>
      </c>
      <c r="B63" t="s">
        <v>96</v>
      </c>
      <c r="C63">
        <v>0.2</v>
      </c>
      <c r="D63">
        <v>0.3</v>
      </c>
      <c r="E63">
        <v>2</v>
      </c>
      <c r="F63">
        <v>4</v>
      </c>
      <c r="G63" s="57">
        <f t="shared" ref="G63:G66" si="23">$P$12</f>
        <v>0</v>
      </c>
      <c r="H63" s="46">
        <f t="shared" ref="H63:H65" si="24">(F63-E63)/(D63-C63)*(G63-C63)+E63</f>
        <v>-2.0000000000000009</v>
      </c>
    </row>
    <row r="64" spans="1:8" hidden="1" outlineLevel="1" x14ac:dyDescent="0.3">
      <c r="A64" s="47" t="s">
        <v>143</v>
      </c>
      <c r="B64" t="s">
        <v>95</v>
      </c>
      <c r="C64">
        <v>0.3</v>
      </c>
      <c r="D64">
        <v>0.4</v>
      </c>
      <c r="E64">
        <v>4</v>
      </c>
      <c r="F64">
        <v>6</v>
      </c>
      <c r="G64" s="57">
        <f t="shared" si="23"/>
        <v>0</v>
      </c>
      <c r="H64" s="46">
        <f t="shared" si="24"/>
        <v>-1.9999999999999973</v>
      </c>
    </row>
    <row r="65" spans="1:8" hidden="1" outlineLevel="1" x14ac:dyDescent="0.3">
      <c r="A65" s="47" t="s">
        <v>143</v>
      </c>
      <c r="B65" t="s">
        <v>98</v>
      </c>
      <c r="C65">
        <v>0.4</v>
      </c>
      <c r="D65">
        <v>0.5</v>
      </c>
      <c r="E65">
        <v>6</v>
      </c>
      <c r="F65">
        <v>8</v>
      </c>
      <c r="G65" s="57">
        <f t="shared" si="23"/>
        <v>0</v>
      </c>
      <c r="H65" s="46">
        <f t="shared" si="24"/>
        <v>-2.0000000000000018</v>
      </c>
    </row>
    <row r="66" spans="1:8" hidden="1" outlineLevel="1" x14ac:dyDescent="0.3">
      <c r="A66" s="47" t="s">
        <v>143</v>
      </c>
      <c r="B66" t="s">
        <v>92</v>
      </c>
      <c r="C66">
        <v>0.5</v>
      </c>
      <c r="D66" s="48">
        <v>0.6</v>
      </c>
      <c r="E66">
        <v>8</v>
      </c>
      <c r="F66">
        <v>10</v>
      </c>
      <c r="G66" s="57">
        <f t="shared" si="23"/>
        <v>0</v>
      </c>
      <c r="H66" s="46">
        <f>IF(G66&lt;=D66,(F66-E66)/(D66-C66)*(G66-C66)+E66,10)</f>
        <v>-2.0000000000000018</v>
      </c>
    </row>
    <row r="67" spans="1:8" hidden="1" outlineLevel="1" x14ac:dyDescent="0.3">
      <c r="A67" s="63" t="s">
        <v>144</v>
      </c>
      <c r="B67" s="63" t="s">
        <v>141</v>
      </c>
      <c r="C67" s="63">
        <v>36</v>
      </c>
      <c r="D67" s="48">
        <v>38</v>
      </c>
      <c r="E67" s="63">
        <v>0</v>
      </c>
      <c r="F67" s="63">
        <v>2</v>
      </c>
      <c r="G67" s="63">
        <f>$AH$6</f>
        <v>100</v>
      </c>
      <c r="H67" s="65">
        <f>IF(G67&lt;=D67,(F67-E67)/(D67-C67)*(D67-G67)+E67,0)</f>
        <v>0</v>
      </c>
    </row>
    <row r="68" spans="1:8" hidden="1" outlineLevel="1" x14ac:dyDescent="0.3">
      <c r="A68" s="63" t="s">
        <v>144</v>
      </c>
      <c r="B68" s="63" t="s">
        <v>96</v>
      </c>
      <c r="C68" s="63">
        <v>34</v>
      </c>
      <c r="D68" s="63">
        <v>36</v>
      </c>
      <c r="E68" s="63">
        <v>2</v>
      </c>
      <c r="F68" s="63">
        <v>4</v>
      </c>
      <c r="G68" s="63">
        <f t="shared" ref="G68:G71" si="25">$AH$6</f>
        <v>100</v>
      </c>
      <c r="H68" s="65">
        <f t="shared" ref="H68:H71" si="26">(F68-E68)/(D68-C68)*(D68-G68)+E68</f>
        <v>-62</v>
      </c>
    </row>
    <row r="69" spans="1:8" hidden="1" outlineLevel="1" x14ac:dyDescent="0.3">
      <c r="A69" s="63" t="s">
        <v>144</v>
      </c>
      <c r="B69" s="63" t="s">
        <v>95</v>
      </c>
      <c r="C69" s="63">
        <v>32</v>
      </c>
      <c r="D69" s="63">
        <v>34</v>
      </c>
      <c r="E69" s="63">
        <v>4</v>
      </c>
      <c r="F69" s="63">
        <v>6</v>
      </c>
      <c r="G69" s="63">
        <f t="shared" si="25"/>
        <v>100</v>
      </c>
      <c r="H69" s="65">
        <f t="shared" si="26"/>
        <v>-62</v>
      </c>
    </row>
    <row r="70" spans="1:8" hidden="1" outlineLevel="1" x14ac:dyDescent="0.3">
      <c r="A70" s="63" t="s">
        <v>144</v>
      </c>
      <c r="B70" s="63" t="s">
        <v>98</v>
      </c>
      <c r="C70" s="63">
        <v>30</v>
      </c>
      <c r="D70" s="63">
        <v>32</v>
      </c>
      <c r="E70" s="63">
        <v>6</v>
      </c>
      <c r="F70" s="63">
        <v>8</v>
      </c>
      <c r="G70" s="63">
        <f t="shared" si="25"/>
        <v>100</v>
      </c>
      <c r="H70" s="65">
        <f t="shared" si="26"/>
        <v>-62</v>
      </c>
    </row>
    <row r="71" spans="1:8" hidden="1" outlineLevel="1" x14ac:dyDescent="0.3">
      <c r="A71" s="63" t="s">
        <v>144</v>
      </c>
      <c r="B71" s="63" t="s">
        <v>92</v>
      </c>
      <c r="C71" s="63">
        <v>0</v>
      </c>
      <c r="D71" s="63">
        <v>30</v>
      </c>
      <c r="E71" s="63">
        <v>8</v>
      </c>
      <c r="F71" s="63">
        <v>10</v>
      </c>
      <c r="G71" s="63">
        <f t="shared" si="25"/>
        <v>100</v>
      </c>
      <c r="H71" s="65">
        <f t="shared" si="26"/>
        <v>3.333333333333333</v>
      </c>
    </row>
    <row r="72" spans="1:8" hidden="1" outlineLevel="1" x14ac:dyDescent="0.3">
      <c r="A72" s="47" t="s">
        <v>36</v>
      </c>
      <c r="B72" t="s">
        <v>141</v>
      </c>
      <c r="C72">
        <v>0</v>
      </c>
      <c r="D72">
        <v>0.3</v>
      </c>
      <c r="E72">
        <v>0</v>
      </c>
      <c r="F72">
        <v>2</v>
      </c>
      <c r="G72" s="57">
        <f>AI$8</f>
        <v>0</v>
      </c>
      <c r="H72" s="46">
        <f>(F72-E72)/(D72-C72)*(G72-C72)+E72</f>
        <v>0</v>
      </c>
    </row>
    <row r="73" spans="1:8" hidden="1" outlineLevel="1" x14ac:dyDescent="0.3">
      <c r="A73" s="47" t="s">
        <v>36</v>
      </c>
      <c r="B73" t="s">
        <v>96</v>
      </c>
      <c r="C73">
        <v>0.3</v>
      </c>
      <c r="D73">
        <v>0.45</v>
      </c>
      <c r="E73">
        <v>2</v>
      </c>
      <c r="F73">
        <v>4</v>
      </c>
      <c r="G73" s="57">
        <f t="shared" ref="G73:G76" si="27">AI$8</f>
        <v>0</v>
      </c>
      <c r="H73" s="46">
        <f t="shared" ref="H73:H75" si="28">(F73-E73)/(D73-C73)*(G73-C73)+E73</f>
        <v>-1.9999999999999996</v>
      </c>
    </row>
    <row r="74" spans="1:8" hidden="1" outlineLevel="1" x14ac:dyDescent="0.3">
      <c r="A74" s="47" t="s">
        <v>36</v>
      </c>
      <c r="B74" t="s">
        <v>95</v>
      </c>
      <c r="C74">
        <v>0.45</v>
      </c>
      <c r="D74">
        <v>0.65</v>
      </c>
      <c r="E74">
        <v>4</v>
      </c>
      <c r="F74">
        <v>6</v>
      </c>
      <c r="G74" s="57">
        <f t="shared" si="27"/>
        <v>0</v>
      </c>
      <c r="H74" s="46">
        <f t="shared" si="28"/>
        <v>-0.5</v>
      </c>
    </row>
    <row r="75" spans="1:8" hidden="1" outlineLevel="1" x14ac:dyDescent="0.3">
      <c r="A75" s="47" t="s">
        <v>36</v>
      </c>
      <c r="B75" t="s">
        <v>98</v>
      </c>
      <c r="C75">
        <v>0.65</v>
      </c>
      <c r="D75">
        <v>0.95</v>
      </c>
      <c r="E75">
        <v>6</v>
      </c>
      <c r="F75">
        <v>8</v>
      </c>
      <c r="G75" s="57">
        <f t="shared" si="27"/>
        <v>0</v>
      </c>
      <c r="H75" s="46">
        <f t="shared" si="28"/>
        <v>1.6666666666666661</v>
      </c>
    </row>
    <row r="76" spans="1:8" hidden="1" outlineLevel="1" x14ac:dyDescent="0.3">
      <c r="A76" s="47" t="s">
        <v>36</v>
      </c>
      <c r="B76" t="s">
        <v>92</v>
      </c>
      <c r="C76">
        <v>0.95</v>
      </c>
      <c r="D76" s="48">
        <v>1.25</v>
      </c>
      <c r="E76">
        <v>8</v>
      </c>
      <c r="F76">
        <v>10</v>
      </c>
      <c r="G76" s="57">
        <f t="shared" si="27"/>
        <v>0</v>
      </c>
      <c r="H76" s="46">
        <f>IF(G76&lt;=D76,(F76-E76)/(D76-C76)*(G76-C76)+E76,10)</f>
        <v>1.6666666666666679</v>
      </c>
    </row>
    <row r="77" spans="1:8" hidden="1" outlineLevel="1" x14ac:dyDescent="0.3">
      <c r="A77" s="47" t="s">
        <v>41</v>
      </c>
      <c r="B77" t="s">
        <v>141</v>
      </c>
      <c r="C77">
        <v>0</v>
      </c>
      <c r="D77">
        <v>0.35</v>
      </c>
      <c r="E77">
        <v>0</v>
      </c>
      <c r="F77">
        <v>2</v>
      </c>
      <c r="G77" s="55">
        <f>$AQ$6</f>
        <v>0</v>
      </c>
      <c r="H77" s="46">
        <f>(F77-E77)/(D77-C77)*(G77-C77)+E77</f>
        <v>0</v>
      </c>
    </row>
    <row r="78" spans="1:8" hidden="1" outlineLevel="1" x14ac:dyDescent="0.3">
      <c r="A78" s="47" t="s">
        <v>41</v>
      </c>
      <c r="B78" t="s">
        <v>96</v>
      </c>
      <c r="C78">
        <v>0.35</v>
      </c>
      <c r="D78">
        <v>0.55000000000000004</v>
      </c>
      <c r="E78">
        <v>2</v>
      </c>
      <c r="F78">
        <v>4</v>
      </c>
      <c r="G78" s="55">
        <f t="shared" ref="G78:G81" si="29">$AQ$6</f>
        <v>0</v>
      </c>
      <c r="H78" s="46">
        <f t="shared" ref="H78:H81" si="30">(F78-E78)/(D78-C78)*(G78-C78)+E78</f>
        <v>-1.4999999999999987</v>
      </c>
    </row>
    <row r="79" spans="1:8" hidden="1" outlineLevel="1" x14ac:dyDescent="0.3">
      <c r="A79" s="47" t="s">
        <v>41</v>
      </c>
      <c r="B79" t="s">
        <v>95</v>
      </c>
      <c r="C79">
        <v>0.55000000000000004</v>
      </c>
      <c r="D79">
        <v>0.7</v>
      </c>
      <c r="E79">
        <v>4</v>
      </c>
      <c r="F79">
        <v>6</v>
      </c>
      <c r="G79" s="55">
        <f t="shared" si="29"/>
        <v>0</v>
      </c>
      <c r="H79" s="46">
        <f t="shared" si="30"/>
        <v>-3.3333333333333384</v>
      </c>
    </row>
    <row r="80" spans="1:8" hidden="1" outlineLevel="1" x14ac:dyDescent="0.3">
      <c r="A80" s="47" t="s">
        <v>41</v>
      </c>
      <c r="B80" t="s">
        <v>98</v>
      </c>
      <c r="C80">
        <v>0.7</v>
      </c>
      <c r="D80">
        <v>0.85</v>
      </c>
      <c r="E80">
        <v>6</v>
      </c>
      <c r="F80">
        <v>8</v>
      </c>
      <c r="G80" s="55">
        <f t="shared" si="29"/>
        <v>0</v>
      </c>
      <c r="H80" s="46">
        <f t="shared" si="30"/>
        <v>-3.3333333333333321</v>
      </c>
    </row>
    <row r="81" spans="1:8" hidden="1" outlineLevel="1" x14ac:dyDescent="0.3">
      <c r="A81" s="47" t="s">
        <v>41</v>
      </c>
      <c r="B81" t="s">
        <v>92</v>
      </c>
      <c r="C81">
        <v>0.85</v>
      </c>
      <c r="D81" s="47">
        <v>1</v>
      </c>
      <c r="E81">
        <v>8</v>
      </c>
      <c r="F81">
        <v>10</v>
      </c>
      <c r="G81" s="55">
        <f t="shared" si="29"/>
        <v>0</v>
      </c>
      <c r="H81" s="46">
        <f t="shared" si="30"/>
        <v>-3.3333333333333321</v>
      </c>
    </row>
    <row r="82" spans="1:8" hidden="1" outlineLevel="1" x14ac:dyDescent="0.3">
      <c r="A82" s="47" t="s">
        <v>145</v>
      </c>
      <c r="B82" t="s">
        <v>141</v>
      </c>
      <c r="C82">
        <v>0</v>
      </c>
      <c r="D82">
        <v>0.1</v>
      </c>
      <c r="E82">
        <v>0</v>
      </c>
      <c r="F82">
        <v>2</v>
      </c>
      <c r="G82" s="57">
        <f>$AR$14</f>
        <v>0</v>
      </c>
      <c r="H82" s="46">
        <f>(F82-E82)/(D82-C82)*(G82-C82)+E82</f>
        <v>0</v>
      </c>
    </row>
    <row r="83" spans="1:8" hidden="1" outlineLevel="1" x14ac:dyDescent="0.3">
      <c r="A83" s="47" t="s">
        <v>145</v>
      </c>
      <c r="B83" t="s">
        <v>96</v>
      </c>
      <c r="C83">
        <v>0.1</v>
      </c>
      <c r="D83">
        <v>0.15</v>
      </c>
      <c r="E83">
        <v>2</v>
      </c>
      <c r="F83">
        <v>4</v>
      </c>
      <c r="G83" s="57">
        <f t="shared" ref="G83:G86" si="31">$AR$14</f>
        <v>0</v>
      </c>
      <c r="H83" s="46">
        <f t="shared" ref="H83:H85" si="32">(F83-E83)/(D83-C83)*(G83-C83)+E83</f>
        <v>-2.0000000000000009</v>
      </c>
    </row>
    <row r="84" spans="1:8" hidden="1" outlineLevel="1" x14ac:dyDescent="0.3">
      <c r="A84" s="47" t="s">
        <v>145</v>
      </c>
      <c r="B84" t="s">
        <v>95</v>
      </c>
      <c r="C84">
        <v>0.15</v>
      </c>
      <c r="D84">
        <v>0.2</v>
      </c>
      <c r="E84">
        <v>4</v>
      </c>
      <c r="F84">
        <v>6</v>
      </c>
      <c r="G84" s="57">
        <f t="shared" si="31"/>
        <v>0</v>
      </c>
      <c r="H84" s="46">
        <f t="shared" si="32"/>
        <v>-1.9999999999999973</v>
      </c>
    </row>
    <row r="85" spans="1:8" hidden="1" outlineLevel="1" x14ac:dyDescent="0.3">
      <c r="A85" s="47" t="s">
        <v>145</v>
      </c>
      <c r="B85" t="s">
        <v>98</v>
      </c>
      <c r="C85">
        <v>0.2</v>
      </c>
      <c r="D85">
        <v>0.25</v>
      </c>
      <c r="E85">
        <v>6</v>
      </c>
      <c r="F85">
        <v>8</v>
      </c>
      <c r="G85" s="57">
        <f t="shared" si="31"/>
        <v>0</v>
      </c>
      <c r="H85" s="46">
        <f t="shared" si="32"/>
        <v>-2.0000000000000018</v>
      </c>
    </row>
    <row r="86" spans="1:8" hidden="1" outlineLevel="1" x14ac:dyDescent="0.3">
      <c r="A86" s="47" t="s">
        <v>145</v>
      </c>
      <c r="B86" t="s">
        <v>92</v>
      </c>
      <c r="C86">
        <v>0.25</v>
      </c>
      <c r="D86" s="48">
        <v>0.3</v>
      </c>
      <c r="E86">
        <v>8</v>
      </c>
      <c r="F86">
        <v>10</v>
      </c>
      <c r="G86" s="57">
        <f t="shared" si="31"/>
        <v>0</v>
      </c>
      <c r="H86" s="46">
        <f>IF(G86&lt;=D86,(F86-E86)/(D86-C86)*(G86-C86)+E86,10)</f>
        <v>-2.0000000000000018</v>
      </c>
    </row>
    <row r="87" spans="1:8" collapsed="1" x14ac:dyDescent="0.3"/>
  </sheetData>
  <protectedRanges>
    <protectedRange sqref="A3:C3 O3 Q3:Y3 AJ3:AK3 AS3:AZ3 F3:L3 AA3:AH3 AM3:AP3 BE3" name="Preencher"/>
    <protectedRange sqref="D3:E3" name="Preencher_1"/>
    <protectedRange sqref="Z3" name="Preencher_2"/>
    <protectedRange sqref="AL3" name="Preencher_3"/>
    <protectedRange sqref="BA3:BD3" name="Preencher_4"/>
  </protectedRanges>
  <conditionalFormatting sqref="B22">
    <cfRule type="containsText" dxfId="266" priority="86" operator="containsText" text="MB">
      <formula>NOT(ISERROR(SEARCH("MB",B22)))</formula>
    </cfRule>
    <cfRule type="containsText" dxfId="265" priority="87" operator="containsText" text="B">
      <formula>NOT(ISERROR(SEARCH("B",B22)))</formula>
    </cfRule>
    <cfRule type="containsText" dxfId="264" priority="88" operator="containsText" text="R">
      <formula>NOT(ISERROR(SEARCH("R",B22)))</formula>
    </cfRule>
    <cfRule type="containsText" dxfId="263" priority="89" operator="containsText" text="F">
      <formula>NOT(ISERROR(SEARCH("F",B22)))</formula>
    </cfRule>
    <cfRule type="containsText" dxfId="262" priority="90" operator="containsText" text="I">
      <formula>NOT(ISERROR(SEARCH("I",B22)))</formula>
    </cfRule>
  </conditionalFormatting>
  <conditionalFormatting sqref="C7">
    <cfRule type="containsText" dxfId="261" priority="81" operator="containsText" text="MB">
      <formula>NOT(ISERROR(SEARCH("MB",C7)))</formula>
    </cfRule>
    <cfRule type="containsText" dxfId="260" priority="82" operator="containsText" text="B">
      <formula>NOT(ISERROR(SEARCH("B",C7)))</formula>
    </cfRule>
    <cfRule type="containsText" dxfId="259" priority="83" operator="containsText" text="R">
      <formula>NOT(ISERROR(SEARCH("R",C7)))</formula>
    </cfRule>
    <cfRule type="containsText" dxfId="258" priority="84" operator="containsText" text="F">
      <formula>NOT(ISERROR(SEARCH("F",C7)))</formula>
    </cfRule>
    <cfRule type="containsText" dxfId="257" priority="85" operator="containsText" text="I">
      <formula>NOT(ISERROR(SEARCH("I",C7)))</formula>
    </cfRule>
  </conditionalFormatting>
  <conditionalFormatting sqref="AI9">
    <cfRule type="containsText" dxfId="256" priority="76" operator="containsText" text="MB">
      <formula>NOT(ISERROR(SEARCH("MB",AI9)))</formula>
    </cfRule>
    <cfRule type="containsText" dxfId="255" priority="77" operator="containsText" text="B">
      <formula>NOT(ISERROR(SEARCH("B",AI9)))</formula>
    </cfRule>
    <cfRule type="containsText" dxfId="254" priority="78" operator="containsText" text="R">
      <formula>NOT(ISERROR(SEARCH("R",AI9)))</formula>
    </cfRule>
    <cfRule type="containsText" dxfId="253" priority="79" operator="containsText" text="F">
      <formula>NOT(ISERROR(SEARCH("F",AI9)))</formula>
    </cfRule>
    <cfRule type="containsText" dxfId="252" priority="80" operator="containsText" text="I">
      <formula>NOT(ISERROR(SEARCH("I",AI9)))</formula>
    </cfRule>
  </conditionalFormatting>
  <conditionalFormatting sqref="AQ7">
    <cfRule type="containsText" dxfId="251" priority="71" operator="containsText" text="MB">
      <formula>NOT(ISERROR(SEARCH("MB",AQ7)))</formula>
    </cfRule>
    <cfRule type="containsText" dxfId="250" priority="72" operator="containsText" text="B">
      <formula>NOT(ISERROR(SEARCH("B",AQ7)))</formula>
    </cfRule>
    <cfRule type="containsText" dxfId="249" priority="73" operator="containsText" text="R">
      <formula>NOT(ISERROR(SEARCH("R",AQ7)))</formula>
    </cfRule>
    <cfRule type="containsText" dxfId="248" priority="74" operator="containsText" text="F">
      <formula>NOT(ISERROR(SEARCH("F",AQ7)))</formula>
    </cfRule>
    <cfRule type="containsText" dxfId="247" priority="75" operator="containsText" text="I">
      <formula>NOT(ISERROR(SEARCH("I",AQ7)))</formula>
    </cfRule>
  </conditionalFormatting>
  <conditionalFormatting sqref="AR15">
    <cfRule type="containsText" dxfId="246" priority="66" operator="containsText" text="MB">
      <formula>NOT(ISERROR(SEARCH("MB",AR15)))</formula>
    </cfRule>
    <cfRule type="containsText" dxfId="245" priority="67" operator="containsText" text="B">
      <formula>NOT(ISERROR(SEARCH("B",AR15)))</formula>
    </cfRule>
    <cfRule type="containsText" dxfId="244" priority="68" operator="containsText" text="R">
      <formula>NOT(ISERROR(SEARCH("R",AR15)))</formula>
    </cfRule>
    <cfRule type="containsText" dxfId="243" priority="69" operator="containsText" text="F">
      <formula>NOT(ISERROR(SEARCH("F",AR15)))</formula>
    </cfRule>
    <cfRule type="containsText" dxfId="242" priority="70" operator="containsText" text="I">
      <formula>NOT(ISERROR(SEARCH("I",AR15)))</formula>
    </cfRule>
  </conditionalFormatting>
  <conditionalFormatting sqref="B12">
    <cfRule type="cellIs" dxfId="241" priority="64" operator="lessThan">
      <formula>0.69</formula>
    </cfRule>
    <cfRule type="cellIs" dxfId="240" priority="65" operator="greaterThan">
      <formula>0.7</formula>
    </cfRule>
  </conditionalFormatting>
  <conditionalFormatting sqref="D7">
    <cfRule type="containsText" dxfId="239" priority="59" operator="containsText" text="MB">
      <formula>NOT(ISERROR(SEARCH("MB",D7)))</formula>
    </cfRule>
    <cfRule type="containsText" dxfId="238" priority="60" operator="containsText" text="B">
      <formula>NOT(ISERROR(SEARCH("B",D7)))</formula>
    </cfRule>
    <cfRule type="containsText" dxfId="237" priority="61" operator="containsText" text="R">
      <formula>NOT(ISERROR(SEARCH("R",D7)))</formula>
    </cfRule>
    <cfRule type="containsText" dxfId="236" priority="62" operator="containsText" text="F">
      <formula>NOT(ISERROR(SEARCH("F",D7)))</formula>
    </cfRule>
    <cfRule type="containsText" dxfId="235" priority="63" operator="containsText" text="I">
      <formula>NOT(ISERROR(SEARCH("I",D7)))</formula>
    </cfRule>
  </conditionalFormatting>
  <conditionalFormatting sqref="E7">
    <cfRule type="containsText" dxfId="234" priority="54" operator="containsText" text="MB">
      <formula>NOT(ISERROR(SEARCH("MB",E7)))</formula>
    </cfRule>
    <cfRule type="containsText" dxfId="233" priority="55" operator="containsText" text="B">
      <formula>NOT(ISERROR(SEARCH("B",E7)))</formula>
    </cfRule>
    <cfRule type="containsText" dxfId="232" priority="56" operator="containsText" text="R">
      <formula>NOT(ISERROR(SEARCH("R",E7)))</formula>
    </cfRule>
    <cfRule type="containsText" dxfId="231" priority="57" operator="containsText" text="F">
      <formula>NOT(ISERROR(SEARCH("F",E7)))</formula>
    </cfRule>
    <cfRule type="containsText" dxfId="230" priority="58" operator="containsText" text="I">
      <formula>NOT(ISERROR(SEARCH("I",E7)))</formula>
    </cfRule>
  </conditionalFormatting>
  <conditionalFormatting sqref="G7:N7">
    <cfRule type="containsText" dxfId="229" priority="49" operator="containsText" text="MB">
      <formula>NOT(ISERROR(SEARCH("MB",G7)))</formula>
    </cfRule>
    <cfRule type="containsText" dxfId="228" priority="50" operator="containsText" text="B">
      <formula>NOT(ISERROR(SEARCH("B",G7)))</formula>
    </cfRule>
    <cfRule type="containsText" dxfId="227" priority="51" operator="containsText" text="R">
      <formula>NOT(ISERROR(SEARCH("R",G7)))</formula>
    </cfRule>
    <cfRule type="containsText" dxfId="226" priority="52" operator="containsText" text="F">
      <formula>NOT(ISERROR(SEARCH("F",G7)))</formula>
    </cfRule>
    <cfRule type="containsText" dxfId="225" priority="53" operator="containsText" text="I">
      <formula>NOT(ISERROR(SEARCH("I",G7)))</formula>
    </cfRule>
  </conditionalFormatting>
  <conditionalFormatting sqref="O7">
    <cfRule type="containsText" dxfId="224" priority="44" operator="containsText" text="MB">
      <formula>NOT(ISERROR(SEARCH("MB",O7)))</formula>
    </cfRule>
    <cfRule type="containsText" dxfId="223" priority="45" operator="containsText" text="B">
      <formula>NOT(ISERROR(SEARCH("B",O7)))</formula>
    </cfRule>
    <cfRule type="containsText" dxfId="222" priority="46" operator="containsText" text="R">
      <formula>NOT(ISERROR(SEARCH("R",O7)))</formula>
    </cfRule>
    <cfRule type="containsText" dxfId="221" priority="47" operator="containsText" text="F">
      <formula>NOT(ISERROR(SEARCH("F",O7)))</formula>
    </cfRule>
    <cfRule type="containsText" dxfId="220" priority="48" operator="containsText" text="I">
      <formula>NOT(ISERROR(SEARCH("I",O7)))</formula>
    </cfRule>
  </conditionalFormatting>
  <conditionalFormatting sqref="O12">
    <cfRule type="containsText" dxfId="219" priority="39" operator="containsText" text="MB">
      <formula>NOT(ISERROR(SEARCH("MB",O12)))</formula>
    </cfRule>
    <cfRule type="containsText" dxfId="218" priority="40" operator="containsText" text="B">
      <formula>NOT(ISERROR(SEARCH("B",O12)))</formula>
    </cfRule>
    <cfRule type="containsText" dxfId="217" priority="41" operator="containsText" text="R">
      <formula>NOT(ISERROR(SEARCH("R",O12)))</formula>
    </cfRule>
    <cfRule type="containsText" dxfId="216" priority="42" operator="containsText" text="F">
      <formula>NOT(ISERROR(SEARCH("F",O12)))</formula>
    </cfRule>
    <cfRule type="containsText" dxfId="215" priority="43" operator="containsText" text="I">
      <formula>NOT(ISERROR(SEARCH("I",O12)))</formula>
    </cfRule>
  </conditionalFormatting>
  <conditionalFormatting sqref="P13">
    <cfRule type="containsText" dxfId="214" priority="34" operator="containsText" text="MB">
      <formula>NOT(ISERROR(SEARCH("MB",P13)))</formula>
    </cfRule>
    <cfRule type="containsText" dxfId="213" priority="35" operator="containsText" text="B">
      <formula>NOT(ISERROR(SEARCH("B",P13)))</formula>
    </cfRule>
    <cfRule type="containsText" dxfId="212" priority="36" operator="containsText" text="R">
      <formula>NOT(ISERROR(SEARCH("R",P13)))</formula>
    </cfRule>
    <cfRule type="containsText" dxfId="211" priority="37" operator="containsText" text="F">
      <formula>NOT(ISERROR(SEARCH("F",P13)))</formula>
    </cfRule>
    <cfRule type="containsText" dxfId="210" priority="38" operator="containsText" text="I">
      <formula>NOT(ISERROR(SEARCH("I",P13)))</formula>
    </cfRule>
  </conditionalFormatting>
  <conditionalFormatting sqref="AH7">
    <cfRule type="containsText" dxfId="209" priority="29" operator="containsText" text="MB">
      <formula>NOT(ISERROR(SEARCH("MB",AH7)))</formula>
    </cfRule>
    <cfRule type="containsText" dxfId="208" priority="30" operator="containsText" text="B">
      <formula>NOT(ISERROR(SEARCH("B",AH7)))</formula>
    </cfRule>
    <cfRule type="containsText" dxfId="207" priority="31" operator="containsText" text="R">
      <formula>NOT(ISERROR(SEARCH("R",AH7)))</formula>
    </cfRule>
    <cfRule type="containsText" dxfId="206" priority="32" operator="containsText" text="F">
      <formula>NOT(ISERROR(SEARCH("F",AH7)))</formula>
    </cfRule>
    <cfRule type="containsText" dxfId="205" priority="33" operator="containsText" text="I">
      <formula>NOT(ISERROR(SEARCH("I",AH7)))</formula>
    </cfRule>
  </conditionalFormatting>
  <conditionalFormatting sqref="P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">
    <cfRule type="iconSet" priority="94">
      <iconSet iconSet="3Symbols">
        <cfvo type="percent" val="0"/>
        <cfvo type="percent" val="33"/>
        <cfvo type="percent" val="67"/>
      </iconSet>
    </cfRule>
  </conditionalFormatting>
  <conditionalFormatting sqref="AQ3">
    <cfRule type="iconSet" priority="95">
      <iconSet iconSet="3Symbols">
        <cfvo type="percent" val="0"/>
        <cfvo type="percent" val="33"/>
        <cfvo type="percent" val="67"/>
      </iconSet>
    </cfRule>
  </conditionalFormatting>
  <conditionalFormatting sqref="F7">
    <cfRule type="containsText" dxfId="204" priority="24" operator="containsText" text="MB">
      <formula>NOT(ISERROR(SEARCH("MB",F7)))</formula>
    </cfRule>
    <cfRule type="containsText" dxfId="203" priority="25" operator="containsText" text="B">
      <formula>NOT(ISERROR(SEARCH("B",F7)))</formula>
    </cfRule>
    <cfRule type="containsText" dxfId="202" priority="26" operator="containsText" text="R">
      <formula>NOT(ISERROR(SEARCH("R",F7)))</formula>
    </cfRule>
    <cfRule type="containsText" dxfId="201" priority="27" operator="containsText" text="F">
      <formula>NOT(ISERROR(SEARCH("F",F7)))</formula>
    </cfRule>
    <cfRule type="containsText" dxfId="200" priority="28" operator="containsText" text="I">
      <formula>NOT(ISERROR(SEARCH("I",F7)))</formula>
    </cfRule>
  </conditionalFormatting>
  <conditionalFormatting sqref="BL3:BL30">
    <cfRule type="containsText" dxfId="199" priority="19" operator="containsText" text="MB">
      <formula>NOT(ISERROR(SEARCH("MB",BL3)))</formula>
    </cfRule>
    <cfRule type="containsText" dxfId="198" priority="20" operator="containsText" text="B">
      <formula>NOT(ISERROR(SEARCH("B",BL3)))</formula>
    </cfRule>
    <cfRule type="containsText" dxfId="197" priority="21" operator="containsText" text="R">
      <formula>NOT(ISERROR(SEARCH("R",BL3)))</formula>
    </cfRule>
    <cfRule type="containsText" dxfId="196" priority="22" operator="containsText" text="F">
      <formula>NOT(ISERROR(SEARCH("F",BL3)))</formula>
    </cfRule>
    <cfRule type="containsText" dxfId="195" priority="23" operator="containsText" text="I">
      <formula>NOT(ISERROR(SEARCH("I",BL3)))</formula>
    </cfRule>
  </conditionalFormatting>
  <conditionalFormatting sqref="BO2:BO32">
    <cfRule type="containsText" dxfId="194" priority="14" operator="containsText" text="MB">
      <formula>NOT(ISERROR(SEARCH("MB",BO2)))</formula>
    </cfRule>
    <cfRule type="containsText" dxfId="193" priority="15" operator="containsText" text="B">
      <formula>NOT(ISERROR(SEARCH("B",BO2)))</formula>
    </cfRule>
    <cfRule type="containsText" dxfId="192" priority="16" operator="containsText" text="R">
      <formula>NOT(ISERROR(SEARCH("R",BO2)))</formula>
    </cfRule>
    <cfRule type="containsText" dxfId="191" priority="17" operator="containsText" text="F">
      <formula>NOT(ISERROR(SEARCH("F",BO2)))</formula>
    </cfRule>
    <cfRule type="containsText" dxfId="190" priority="18" operator="containsText" text="I">
      <formula>NOT(ISERROR(SEARCH("I",BO2)))</formula>
    </cfRule>
  </conditionalFormatting>
  <conditionalFormatting sqref="BS1">
    <cfRule type="containsText" dxfId="189" priority="9" operator="containsText" text="MB">
      <formula>NOT(ISERROR(SEARCH("MB",BS1)))</formula>
    </cfRule>
    <cfRule type="containsText" dxfId="188" priority="10" operator="containsText" text="B">
      <formula>NOT(ISERROR(SEARCH("B",BS1)))</formula>
    </cfRule>
    <cfRule type="containsText" dxfId="187" priority="11" operator="containsText" text="R">
      <formula>NOT(ISERROR(SEARCH("R",BS1)))</formula>
    </cfRule>
    <cfRule type="containsText" dxfId="186" priority="12" operator="containsText" text="F">
      <formula>NOT(ISERROR(SEARCH("F",BS1)))</formula>
    </cfRule>
    <cfRule type="containsText" dxfId="185" priority="13" operator="containsText" text="I">
      <formula>NOT(ISERROR(SEARCH("I",BS1)))</formula>
    </cfRule>
  </conditionalFormatting>
  <conditionalFormatting sqref="BS2">
    <cfRule type="containsText" dxfId="184" priority="4" operator="containsText" text="MB">
      <formula>NOT(ISERROR(SEARCH("MB",BS2)))</formula>
    </cfRule>
    <cfRule type="containsText" dxfId="183" priority="5" operator="containsText" text="B">
      <formula>NOT(ISERROR(SEARCH("B",BS2)))</formula>
    </cfRule>
    <cfRule type="containsText" dxfId="182" priority="6" operator="containsText" text="R">
      <formula>NOT(ISERROR(SEARCH("R",BS2)))</formula>
    </cfRule>
    <cfRule type="containsText" dxfId="181" priority="7" operator="containsText" text="F">
      <formula>NOT(ISERROR(SEARCH("F",BS2)))</formula>
    </cfRule>
    <cfRule type="containsText" dxfId="180" priority="8" operator="containsText" text="I">
      <formula>NOT(ISERROR(SEARCH("I",BS2)))</formula>
    </cfRule>
  </conditionalFormatting>
  <conditionalFormatting sqref="BO36">
    <cfRule type="cellIs" dxfId="179" priority="2" operator="lessThan">
      <formula>0</formula>
    </cfRule>
    <cfRule type="cellIs" dxfId="178" priority="3" operator="greaterThan">
      <formula>0</formula>
    </cfRule>
  </conditionalFormatting>
  <conditionalFormatting sqref="BQ4:BQ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">
      <formula1>$A$8:$A$9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7"/>
  <sheetViews>
    <sheetView topLeftCell="AF1" zoomScale="85" zoomScaleNormal="85" workbookViewId="0">
      <selection activeCell="BS3" sqref="BS3"/>
    </sheetView>
  </sheetViews>
  <sheetFormatPr defaultColWidth="8.5546875" defaultRowHeight="14.4" outlineLevelRow="1" outlineLevelCol="1" x14ac:dyDescent="0.3"/>
  <cols>
    <col min="1" max="1" width="34.21875" style="38" bestFit="1" customWidth="1"/>
    <col min="2" max="2" width="11" style="15" bestFit="1" customWidth="1"/>
    <col min="3" max="3" width="15.77734375" style="15" bestFit="1" customWidth="1"/>
    <col min="4" max="4" width="10.6640625" style="15" bestFit="1" customWidth="1"/>
    <col min="5" max="5" width="13.21875" style="15" bestFit="1" customWidth="1"/>
    <col min="6" max="6" width="8" style="15" bestFit="1" customWidth="1"/>
    <col min="7" max="7" width="7.44140625" style="15" customWidth="1"/>
    <col min="8" max="8" width="8.77734375" style="15" bestFit="1" customWidth="1"/>
    <col min="9" max="12" width="6.21875" style="15" customWidth="1"/>
    <col min="13" max="13" width="7.77734375" style="15" bestFit="1" customWidth="1"/>
    <col min="14" max="14" width="7.77734375" style="15" customWidth="1"/>
    <col min="15" max="15" width="16" style="15" bestFit="1" customWidth="1"/>
    <col min="16" max="16" width="10" style="15" bestFit="1" customWidth="1"/>
    <col min="17" max="17" width="7.77734375" style="15" bestFit="1" customWidth="1"/>
    <col min="18" max="18" width="4.21875" style="15" bestFit="1" customWidth="1"/>
    <col min="19" max="19" width="3.6640625" style="15" bestFit="1" customWidth="1"/>
    <col min="20" max="20" width="4.44140625" style="15" bestFit="1" customWidth="1"/>
    <col min="21" max="21" width="3.77734375" style="15" bestFit="1" customWidth="1"/>
    <col min="22" max="22" width="4.77734375" style="15" bestFit="1" customWidth="1"/>
    <col min="23" max="23" width="4.88671875" style="15" bestFit="1" customWidth="1"/>
    <col min="24" max="30" width="3.21875" style="15" bestFit="1" customWidth="1"/>
    <col min="31" max="31" width="2.77734375" style="15" bestFit="1" customWidth="1"/>
    <col min="32" max="32" width="4.109375" style="15" bestFit="1" customWidth="1"/>
    <col min="33" max="33" width="3.6640625" style="15" bestFit="1" customWidth="1"/>
    <col min="34" max="34" width="7" style="15" bestFit="1" customWidth="1"/>
    <col min="35" max="35" width="20.77734375" style="15" bestFit="1" customWidth="1"/>
    <col min="36" max="37" width="3.21875" style="15" bestFit="1" customWidth="1"/>
    <col min="38" max="38" width="3.88671875" style="15" customWidth="1"/>
    <col min="39" max="42" width="3.21875" style="15" bestFit="1" customWidth="1"/>
    <col min="43" max="43" width="12.77734375" style="15" bestFit="1" customWidth="1"/>
    <col min="44" max="44" width="13.44140625" style="15" bestFit="1" customWidth="1"/>
    <col min="45" max="45" width="7.77734375" style="15" bestFit="1" customWidth="1"/>
    <col min="46" max="46" width="4.21875" style="15" bestFit="1" customWidth="1"/>
    <col min="47" max="47" width="3.6640625" style="15" bestFit="1" customWidth="1"/>
    <col min="48" max="48" width="4.44140625" style="15" bestFit="1" customWidth="1"/>
    <col min="49" max="49" width="3.77734375" style="15" bestFit="1" customWidth="1"/>
    <col min="50" max="50" width="4.77734375" style="15" bestFit="1" customWidth="1"/>
    <col min="51" max="51" width="4.88671875" style="15" bestFit="1" customWidth="1"/>
    <col min="52" max="52" width="3.33203125" style="15" bestFit="1" customWidth="1"/>
    <col min="53" max="53" width="4.21875" style="15" bestFit="1" customWidth="1"/>
    <col min="54" max="54" width="3.6640625" style="15" bestFit="1" customWidth="1"/>
    <col min="55" max="55" width="2.77734375" style="15" bestFit="1" customWidth="1"/>
    <col min="56" max="56" width="4.109375" style="15" bestFit="1" customWidth="1"/>
    <col min="57" max="57" width="3.6640625" style="15" bestFit="1" customWidth="1"/>
    <col min="58" max="58" width="12.21875" style="15" customWidth="1"/>
    <col min="59" max="59" width="13.77734375" style="15" hidden="1" customWidth="1" outlineLevel="1"/>
    <col min="60" max="60" width="15.109375" style="15" hidden="1" customWidth="1" outlineLevel="1"/>
    <col min="61" max="61" width="5.33203125" style="15" hidden="1" customWidth="1" outlineLevel="1"/>
    <col min="62" max="62" width="6.88671875" style="15" hidden="1" customWidth="1" outlineLevel="1"/>
    <col min="63" max="63" width="6.77734375" style="15" hidden="1" customWidth="1" outlineLevel="1"/>
    <col min="64" max="64" width="9.77734375" style="15" hidden="1" customWidth="1" outlineLevel="1"/>
    <col min="65" max="65" width="7" style="15" hidden="1" customWidth="1" outlineLevel="1"/>
    <col min="66" max="66" width="11.109375" style="15" hidden="1" customWidth="1" outlineLevel="1"/>
    <col min="67" max="67" width="17.77734375" style="15" hidden="1" customWidth="1" outlineLevel="1"/>
    <col min="68" max="68" width="0" style="15" hidden="1" customWidth="1" outlineLevel="1" collapsed="1"/>
    <col min="69" max="69" width="19.5546875" style="15" bestFit="1" customWidth="1" collapsed="1"/>
    <col min="70" max="71" width="7.44140625" style="15" bestFit="1" customWidth="1"/>
    <col min="72" max="16384" width="8.5546875" style="15"/>
  </cols>
  <sheetData>
    <row r="1" spans="1:71" s="23" customFormat="1" x14ac:dyDescent="0.3">
      <c r="A1" s="39"/>
      <c r="C1" s="23" t="s">
        <v>40</v>
      </c>
      <c r="O1" s="23" t="s">
        <v>7</v>
      </c>
      <c r="AI1" s="23" t="s">
        <v>30</v>
      </c>
      <c r="BG1" s="20" t="s">
        <v>101</v>
      </c>
      <c r="BH1" s="17" t="s">
        <v>102</v>
      </c>
      <c r="BI1" s="17" t="s">
        <v>89</v>
      </c>
      <c r="BJ1" s="17" t="s">
        <v>106</v>
      </c>
      <c r="BK1" s="17" t="s">
        <v>107</v>
      </c>
      <c r="BL1" s="17" t="s">
        <v>88</v>
      </c>
      <c r="BM1" s="17" t="s">
        <v>90</v>
      </c>
      <c r="BN1" s="17" t="s">
        <v>91</v>
      </c>
      <c r="BO1" s="17" t="s">
        <v>103</v>
      </c>
      <c r="BQ1" s="20" t="s">
        <v>100</v>
      </c>
      <c r="BR1" s="2">
        <f>(BI7*BN7+BI15*BN15+BI21*BN21)/0.9</f>
        <v>0</v>
      </c>
      <c r="BS1" s="17" t="str">
        <f>IF(BR1&lt;2,"I",IF(AND(BR1&gt;=2,BR1&lt;4),"F",IF(AND(BR1&gt;=4,BR1&lt;6),"R",IF(AND(BR1&gt;=6,BR1&lt;8),"B","MB"))))</f>
        <v>I</v>
      </c>
    </row>
    <row r="2" spans="1:71" s="17" customFormat="1" x14ac:dyDescent="0.3">
      <c r="A2" s="20" t="s">
        <v>68</v>
      </c>
      <c r="B2" s="17" t="s">
        <v>0</v>
      </c>
      <c r="C2" s="17" t="s">
        <v>2</v>
      </c>
      <c r="D2" s="17" t="s">
        <v>75</v>
      </c>
      <c r="E2" s="17" t="s">
        <v>105</v>
      </c>
      <c r="F2" s="17" t="s">
        <v>77</v>
      </c>
      <c r="G2" s="17" t="s">
        <v>147</v>
      </c>
      <c r="H2" s="17" t="s">
        <v>148</v>
      </c>
      <c r="I2" s="17" t="s">
        <v>149</v>
      </c>
      <c r="J2" s="17" t="s">
        <v>150</v>
      </c>
      <c r="K2" s="17" t="s">
        <v>146</v>
      </c>
      <c r="L2" s="17" t="s">
        <v>151</v>
      </c>
      <c r="M2" s="17" t="s">
        <v>5</v>
      </c>
      <c r="N2" s="17" t="s">
        <v>152</v>
      </c>
      <c r="O2" s="17" t="s">
        <v>157</v>
      </c>
      <c r="P2" s="17" t="s">
        <v>11</v>
      </c>
      <c r="Q2" s="17" t="s">
        <v>12</v>
      </c>
      <c r="R2" s="17" t="s">
        <v>13</v>
      </c>
      <c r="S2" s="17" t="s">
        <v>14</v>
      </c>
      <c r="T2" s="17" t="s">
        <v>15</v>
      </c>
      <c r="U2" s="17" t="s">
        <v>16</v>
      </c>
      <c r="V2" s="17" t="s">
        <v>17</v>
      </c>
      <c r="W2" s="17" t="s">
        <v>18</v>
      </c>
      <c r="X2" s="17" t="s">
        <v>19</v>
      </c>
      <c r="Y2" s="17" t="s">
        <v>20</v>
      </c>
      <c r="Z2" s="17" t="s">
        <v>21</v>
      </c>
      <c r="AA2" s="17" t="s">
        <v>22</v>
      </c>
      <c r="AB2" s="17" t="s">
        <v>23</v>
      </c>
      <c r="AC2" s="17" t="s">
        <v>24</v>
      </c>
      <c r="AD2" s="17" t="s">
        <v>25</v>
      </c>
      <c r="AE2" s="17" t="s">
        <v>26</v>
      </c>
      <c r="AF2" s="17" t="s">
        <v>27</v>
      </c>
      <c r="AG2" s="17" t="s">
        <v>28</v>
      </c>
      <c r="AH2" s="17" t="s">
        <v>29</v>
      </c>
      <c r="AI2" s="17" t="s">
        <v>31</v>
      </c>
      <c r="AJ2" s="17" t="s">
        <v>19</v>
      </c>
      <c r="AK2" s="17" t="s">
        <v>20</v>
      </c>
      <c r="AL2" s="17" t="s">
        <v>21</v>
      </c>
      <c r="AM2" s="17" t="s">
        <v>22</v>
      </c>
      <c r="AN2" s="17" t="s">
        <v>23</v>
      </c>
      <c r="AO2" s="17" t="s">
        <v>24</v>
      </c>
      <c r="AP2" s="17" t="s">
        <v>25</v>
      </c>
      <c r="AQ2" s="17" t="s">
        <v>32</v>
      </c>
      <c r="AR2" s="17" t="s">
        <v>33</v>
      </c>
      <c r="AS2" s="17" t="s">
        <v>12</v>
      </c>
      <c r="AT2" s="17" t="s">
        <v>13</v>
      </c>
      <c r="AU2" s="17" t="s">
        <v>14</v>
      </c>
      <c r="AV2" s="17" t="s">
        <v>15</v>
      </c>
      <c r="AW2" s="17" t="s">
        <v>16</v>
      </c>
      <c r="AX2" s="17" t="s">
        <v>17</v>
      </c>
      <c r="AY2" s="17" t="s">
        <v>18</v>
      </c>
      <c r="AZ2" s="17" t="s">
        <v>37</v>
      </c>
      <c r="BA2" s="17" t="s">
        <v>38</v>
      </c>
      <c r="BB2" s="17" t="s">
        <v>39</v>
      </c>
      <c r="BC2" s="17" t="s">
        <v>26</v>
      </c>
      <c r="BD2" s="17" t="s">
        <v>27</v>
      </c>
      <c r="BE2" s="17" t="s">
        <v>28</v>
      </c>
      <c r="BG2" s="20" t="s">
        <v>45</v>
      </c>
      <c r="BI2" s="18">
        <v>0</v>
      </c>
      <c r="BN2" s="24">
        <f>SUM(BN3:BN5)</f>
        <v>4.2</v>
      </c>
      <c r="BO2" s="17" t="str">
        <f>IF(BN2&lt;2,"I",IF(AND(BN2&gt;=2,BN2&lt;4),"F",IF(AND(BN2&gt;=4,BN2&lt;6),"R",IF(AND(BN2&gt;=6,BN2&lt;8),"B","MB"))))</f>
        <v>R</v>
      </c>
      <c r="BQ2" s="36" t="s">
        <v>99</v>
      </c>
      <c r="BR2" s="34">
        <f>BN21</f>
        <v>0</v>
      </c>
      <c r="BS2" s="17" t="str">
        <f>IF(BR2&lt;2,"I",IF(AND(BR2&gt;=2,BR2&lt;4),"F",IF(AND(BR2&gt;=4,BR2&lt;6),"R",IF(AND(BR2&gt;=6,BR2&lt;8),"B","MB"))))</f>
        <v>I</v>
      </c>
    </row>
    <row r="3" spans="1:71" x14ac:dyDescent="0.3">
      <c r="A3" s="41" t="s">
        <v>132</v>
      </c>
      <c r="B3" s="42" t="s">
        <v>1</v>
      </c>
      <c r="C3" s="19"/>
      <c r="D3" s="19"/>
      <c r="E3" s="19"/>
      <c r="F3" s="49">
        <f>G3+K3</f>
        <v>0</v>
      </c>
      <c r="G3" s="49">
        <f>IF(H3=1,SUM(H3:J3),0)</f>
        <v>0</v>
      </c>
      <c r="H3" s="42"/>
      <c r="I3" s="42"/>
      <c r="J3" s="42"/>
      <c r="K3" s="49">
        <f>IF(L3&lt;20000,0,IF(AND(L3&gt;=20000,L3&lt;=50000),1,2))</f>
        <v>0</v>
      </c>
      <c r="L3" s="42"/>
      <c r="M3" s="3">
        <f>COUNTIFS(E3,"&gt;=1",O3,"&gt;=0.5",AQ3,"&gt;=1")</f>
        <v>0</v>
      </c>
      <c r="N3" s="59"/>
      <c r="O3" s="19">
        <v>0</v>
      </c>
      <c r="P3" s="1">
        <f>4*Q3+3*R3+2*S3+T3+0.1*U3+0.05*V3+0.05*W3+X3+0.9*Y3+0.75*Z3+0.5*AA3+0.3*AB3+0.1*AC3+0.05*AD3+0.1*AE3+0.05*AF3+0.025*AG3</f>
        <v>0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">
        <f t="shared" ref="AI3" si="0">AJ3+0.9*AK3+0.75*AL3+0.5*AM3+0.3*AN3+0.1*AO3+0.05*AP3</f>
        <v>0</v>
      </c>
      <c r="AJ3" s="35"/>
      <c r="AK3" s="35"/>
      <c r="AL3" s="35"/>
      <c r="AM3" s="35"/>
      <c r="AN3" s="19"/>
      <c r="AO3" s="19"/>
      <c r="AP3" s="19"/>
      <c r="AQ3" s="3">
        <f t="shared" ref="AQ3" si="1">IF(SUM(AJ3:AL3)&gt;=0.001,1,0)</f>
        <v>0</v>
      </c>
      <c r="AR3" s="1">
        <f t="shared" ref="AR3" si="2">4*AS3+3*AT3+2*AU3+AV3+0.1*AW3+0.05*AX3+0.05*AY3+0.2*AZ3+0.1*BA3+0.5*BB3+0.1*BC3+0.05*BD3+0.025*BE3</f>
        <v>0</v>
      </c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G3" s="21" t="s">
        <v>46</v>
      </c>
      <c r="BH3" s="11" t="s">
        <v>50</v>
      </c>
      <c r="BI3" s="15">
        <v>0.4</v>
      </c>
      <c r="BJ3" s="16">
        <v>0</v>
      </c>
      <c r="BL3" s="15" t="s">
        <v>95</v>
      </c>
      <c r="BM3" s="1">
        <f>IF(BL3="I",1,IF(BL3="F",3,IF(BL3="R",5,IF(BL3="B",7,9))))</f>
        <v>5</v>
      </c>
      <c r="BN3" s="25">
        <f>BI3*BM3</f>
        <v>2</v>
      </c>
    </row>
    <row r="4" spans="1:71" x14ac:dyDescent="0.3">
      <c r="A4" s="22" t="s">
        <v>67</v>
      </c>
      <c r="BG4" s="21" t="s">
        <v>48</v>
      </c>
      <c r="BH4" s="11" t="s">
        <v>50</v>
      </c>
      <c r="BI4" s="15">
        <v>0.4</v>
      </c>
      <c r="BJ4" s="16">
        <v>0</v>
      </c>
      <c r="BL4" s="15" t="s">
        <v>96</v>
      </c>
      <c r="BM4" s="1">
        <f t="shared" ref="BM4:BM5" si="3">IF(BL4="I",1,IF(BL4="F",3,IF(BL4="R",5,IF(BL4="B",7,9))))</f>
        <v>3</v>
      </c>
      <c r="BN4" s="25">
        <f>BI4*BM4</f>
        <v>1.2000000000000002</v>
      </c>
      <c r="BQ4" s="1"/>
    </row>
    <row r="5" spans="1:71" hidden="1" outlineLevel="1" x14ac:dyDescent="0.3">
      <c r="B5" s="17" t="s">
        <v>42</v>
      </c>
      <c r="C5" s="17" t="s">
        <v>3</v>
      </c>
      <c r="D5" s="17" t="s">
        <v>76</v>
      </c>
      <c r="E5" s="17" t="s">
        <v>4</v>
      </c>
      <c r="F5" s="17" t="s">
        <v>78</v>
      </c>
      <c r="G5" s="17"/>
      <c r="H5" s="17"/>
      <c r="I5" s="17"/>
      <c r="J5" s="17"/>
      <c r="K5" s="17"/>
      <c r="L5" s="17"/>
      <c r="M5" s="17" t="s">
        <v>6</v>
      </c>
      <c r="N5" s="17" t="s">
        <v>153</v>
      </c>
      <c r="O5" s="17" t="s">
        <v>8</v>
      </c>
      <c r="P5" s="17" t="s">
        <v>79</v>
      </c>
      <c r="Q5" s="6" t="s">
        <v>82</v>
      </c>
      <c r="AH5" s="17" t="s">
        <v>35</v>
      </c>
      <c r="AI5" s="17" t="s">
        <v>36</v>
      </c>
      <c r="AQ5" s="17" t="s">
        <v>41</v>
      </c>
      <c r="AR5" s="17" t="s">
        <v>34</v>
      </c>
      <c r="BG5" s="21" t="s">
        <v>49</v>
      </c>
      <c r="BH5" s="11" t="s">
        <v>50</v>
      </c>
      <c r="BI5" s="15">
        <v>0.2</v>
      </c>
      <c r="BJ5" s="16">
        <v>0</v>
      </c>
      <c r="BL5" s="15" t="s">
        <v>95</v>
      </c>
      <c r="BM5" s="1">
        <f t="shared" si="3"/>
        <v>5</v>
      </c>
      <c r="BN5" s="25">
        <f>BI5*BM5</f>
        <v>1</v>
      </c>
      <c r="BQ5" s="1"/>
    </row>
    <row r="6" spans="1:71" hidden="1" outlineLevel="1" x14ac:dyDescent="0.3">
      <c r="B6" s="15">
        <f>COUNTA(B3:B3)</f>
        <v>1</v>
      </c>
      <c r="C6" s="28">
        <f>SUMIF(B3:B3,"=Permanente",C3:C3)/B6</f>
        <v>0</v>
      </c>
      <c r="D6" s="5">
        <f>SUMIF(B3:B3,"=Permanente",D3:D3)/B10</f>
        <v>0</v>
      </c>
      <c r="E6" s="1">
        <f>SUMIF(B3:B3,"=Permanente",E3:E3)/B10</f>
        <v>0</v>
      </c>
      <c r="F6" s="50">
        <f>SUMIF(B3,"=Permanente",F3:F3)/B10</f>
        <v>0</v>
      </c>
      <c r="M6" s="16">
        <f>SUMIF(B3:B3,"=Permanente",M3:M3)/B10</f>
        <v>0</v>
      </c>
      <c r="N6" s="60">
        <f>N3</f>
        <v>0</v>
      </c>
      <c r="O6" s="1">
        <f>SUMIF(B3:B3,"=Permanente",O3:O3)/B6</f>
        <v>0</v>
      </c>
      <c r="P6" s="1">
        <f>IF(O3=0,(SUMIF(B3:B3,"=Permanente",P3:P3)+SUMIF(B3:B3,"=Colaborador",P3:P3))/0.5,(SUMIF(B3:B3,"=Permanente",P3:P3)+SUMIF(B3:B3,"=Colaborador",P3:P3))/O16)</f>
        <v>0</v>
      </c>
      <c r="AH6" s="15">
        <f>IF(AH3&gt;0,MEDIAN(AH3:AH3),100)</f>
        <v>100</v>
      </c>
      <c r="AI6" s="1">
        <f>SUMIF(B3:B3,"=Permanente",AI3:AI3)/B6</f>
        <v>0</v>
      </c>
      <c r="AQ6" s="16">
        <f>SUMIF(B3:B3,"=Permanente",AQ3:AQ3)/B10</f>
        <v>0</v>
      </c>
      <c r="AR6" s="1">
        <f>SUMIF(B3:B3,"=Permanente",AR3:AR3)/B6</f>
        <v>0</v>
      </c>
      <c r="BG6" s="21"/>
      <c r="BJ6" s="16"/>
      <c r="BM6" s="1"/>
      <c r="BN6" s="25"/>
      <c r="BQ6" s="1"/>
    </row>
    <row r="7" spans="1:71" hidden="1" outlineLevel="1" x14ac:dyDescent="0.3">
      <c r="A7" s="38" t="s">
        <v>69</v>
      </c>
      <c r="B7" s="17" t="s">
        <v>44</v>
      </c>
      <c r="C7" s="17" t="str">
        <f>IF(C6&lt;0.1,"I",IF(AND(C6&gt;=0.1,C6&lt;0.2),"F",IF(AND(C6&gt;=0.2,C6&lt;0.3),"R",IF(AND(C6&gt;=0.3,C6&lt;0.4),"B","MB"))))</f>
        <v>I</v>
      </c>
      <c r="D7" s="17" t="str">
        <f>IF(D6&lt;3,"I",IF(AND(D6&gt;=3,D6&lt;4),"F",IF(AND(D6&gt;=4,D6&lt;5.5),"R",IF(AND(D6&gt;=5.5,D6&lt;7),"B","MB"))))</f>
        <v>I</v>
      </c>
      <c r="E7" s="17" t="str">
        <f>IF(E6&lt;0.4,"I",IF(OR(AND(E6&gt;=0.4,E6&lt;0.6),AND(E6&gt;4,E6&lt;=4.5)),"F",IF(OR(AND(E6&gt;=0.6,E6&lt;0.8),AND(E6&gt;3.5,E6&lt;=4)),"R",IF(OR(AND(E6&gt;=0.8,E6&lt;1),AND(E6&gt;3,E6&lt;=3.5)),"B",IF(AND(E6&gt;=1,E6&lt;=3),"MB","I")))))</f>
        <v>I</v>
      </c>
      <c r="F7" s="17" t="str">
        <f>IF(F6&lt;1,"I",IF(AND(F6&gt;=1,F6&lt;2),"F",IF(AND(F6&gt;=2,F6&lt;3),"R",IF(AND(F6&gt;=3,F6&lt;4),"B","MB"))))</f>
        <v>I</v>
      </c>
      <c r="G7" s="17"/>
      <c r="H7" s="17"/>
      <c r="I7" s="17"/>
      <c r="J7" s="17"/>
      <c r="K7" s="17"/>
      <c r="L7" s="17"/>
      <c r="M7" s="17" t="str">
        <f>IF(M6&lt;0.2,"I",IF(AND(M6&gt;=0.2,M6&lt;0.3),"F",IF(AND(M6&gt;=0.3,M6&lt;0.45),"R",IF(AND(M6&gt;=0.45,M6&lt;0.6),"B","MB"))))</f>
        <v>I</v>
      </c>
      <c r="N7" s="17" t="str">
        <f>IF(N6=1,"MB","I")</f>
        <v>I</v>
      </c>
      <c r="O7" s="17" t="str">
        <f>IF(O6&lt;0.4,"I",IF(OR(AND(O6&gt;=0.4,O6&lt;0.7),AND(O6&gt;8,O6&lt;=10)),"F",IF(OR(AND(O6&gt;=0.7,O6&lt;1),AND(O6&gt;6,O6&lt;=8)),"R",IF(OR(AND(O6&gt;=1,O6&lt;1.5),AND(O6&gt;5,O6&lt;=6)),"B",IF(AND(O6&gt;=1.5,O6&lt;=5),"MB","I")))))</f>
        <v>I</v>
      </c>
      <c r="P7" s="17" t="s">
        <v>80</v>
      </c>
      <c r="Q7" s="15" t="s">
        <v>83</v>
      </c>
      <c r="AH7" s="17" t="str">
        <f>IF(AH6&gt;36,"I",IF(AND(AH6&gt;34,AH6&lt;=36),"F",IF(AND(AH6&gt;32,AH6&lt;=34),"R",IF(AND(AH6&gt;30,AH6&lt;=32),"B","MB"))))</f>
        <v>I</v>
      </c>
      <c r="AI7" s="17" t="s">
        <v>74</v>
      </c>
      <c r="AQ7" s="17" t="str">
        <f>IF(AQ6&lt;0.35,"I",IF(AND(AQ6&gt;=0.35,AQ6&lt;0.55),"F",IF(AND(AQ6&gt;=0.55,AQ6&lt;0.7),"R",IF(AND(AQ6&gt;=0.7,AQ6&lt;0.85),"B","MB"))))</f>
        <v>I</v>
      </c>
      <c r="AR7" s="17" t="s">
        <v>84</v>
      </c>
      <c r="BG7" s="20" t="s">
        <v>73</v>
      </c>
      <c r="BH7" s="17"/>
      <c r="BI7" s="18">
        <v>0.2</v>
      </c>
      <c r="BJ7" s="18"/>
      <c r="BK7" s="17"/>
      <c r="BL7" s="17"/>
      <c r="BM7" s="1"/>
      <c r="BN7" s="24">
        <f>SUM(BN8:BN13)</f>
        <v>0</v>
      </c>
      <c r="BO7" s="17" t="str">
        <f>IF(BN7&lt;2,"I",IF(AND(BN7&gt;=2,BN7&lt;4),"F",IF(AND(BN7&gt;=4,BN7&lt;6),"R",IF(AND(BN7&gt;=6,BN7&lt;8),"B","MB"))))</f>
        <v>I</v>
      </c>
      <c r="BQ7" s="1"/>
    </row>
    <row r="8" spans="1:71" hidden="1" outlineLevel="1" x14ac:dyDescent="0.3">
      <c r="A8" s="38" t="s">
        <v>1</v>
      </c>
      <c r="B8" s="15">
        <f>COUNTIF(B3:B3,"=Colaborador")</f>
        <v>0</v>
      </c>
      <c r="C8" s="32">
        <f>SUMIF(B17:B21,C7,H17:H21)</f>
        <v>0</v>
      </c>
      <c r="D8" s="32">
        <f>SUMIF(B22:B26,D7,H22:H26)</f>
        <v>0</v>
      </c>
      <c r="E8" s="1">
        <f>IF(E6&gt;D31,SUMIF(B32:B36,E7,H32:H36),SUMIF(B27:B31,E7,H27:H31))</f>
        <v>0</v>
      </c>
      <c r="F8" s="15">
        <f>SUMIF(B37:B41,F7,H37:H41)</f>
        <v>0</v>
      </c>
      <c r="M8" s="15">
        <f>SUMIF(B42:B46,M7,H42:H46)</f>
        <v>0</v>
      </c>
      <c r="N8" s="61">
        <f>N6</f>
        <v>0</v>
      </c>
      <c r="O8" s="1">
        <f>IF(O6&gt;D51,SUMIF(B52:B56,O7,H52:H56),SUMIF(B47:B51,O7,H47:H51))</f>
        <v>0</v>
      </c>
      <c r="P8" s="15">
        <v>1</v>
      </c>
      <c r="AH8" s="32">
        <f>SUMIF(B67:B71,AH7,H67:H71)</f>
        <v>0</v>
      </c>
      <c r="AI8" s="37">
        <f>AI6</f>
        <v>0</v>
      </c>
      <c r="AQ8" s="32">
        <f>SUMIF(B77:B81,AQ7,H77:H81)</f>
        <v>0</v>
      </c>
      <c r="AR8" s="4">
        <f>AR6</f>
        <v>0</v>
      </c>
      <c r="AS8" s="15" t="s">
        <v>82</v>
      </c>
      <c r="BG8" s="21" t="s">
        <v>62</v>
      </c>
      <c r="BH8" s="15" t="s">
        <v>3</v>
      </c>
      <c r="BI8" s="15">
        <v>0.3</v>
      </c>
      <c r="BJ8" s="16">
        <f>BI8*$BI$7</f>
        <v>0.06</v>
      </c>
      <c r="BK8" s="29">
        <f>C6</f>
        <v>0</v>
      </c>
      <c r="BL8" s="15" t="str">
        <f>C7</f>
        <v>I</v>
      </c>
      <c r="BM8" s="1">
        <f>C8</f>
        <v>0</v>
      </c>
      <c r="BN8" s="25">
        <f>(0.67*BM8+0.33*BM9)*BI8</f>
        <v>0</v>
      </c>
      <c r="BO8" s="1"/>
      <c r="BQ8" s="1"/>
    </row>
    <row r="9" spans="1:71" hidden="1" outlineLevel="1" x14ac:dyDescent="0.3">
      <c r="A9" s="38" t="s">
        <v>70</v>
      </c>
      <c r="B9" s="17" t="s">
        <v>43</v>
      </c>
      <c r="P9" s="17" t="s">
        <v>47</v>
      </c>
      <c r="AI9" s="17" t="str">
        <f>IF(AI8&lt;0.3,"I",IF(AND(AI8&gt;=0.3,AI8&lt;0.45),"F",IF(AND(AI8&gt;=0.45,AI8&lt;0.65),"R",IF(AND(AI8&gt;=0.65,AI8&lt;0.95),"B","MB"))))</f>
        <v>I</v>
      </c>
      <c r="AR9" s="17" t="s">
        <v>85</v>
      </c>
      <c r="BG9" s="21" t="s">
        <v>86</v>
      </c>
      <c r="BH9" s="15" t="s">
        <v>76</v>
      </c>
      <c r="BJ9" s="16"/>
      <c r="BK9" s="29">
        <f>D6</f>
        <v>0</v>
      </c>
      <c r="BL9" s="15" t="str">
        <f>D7</f>
        <v>I</v>
      </c>
      <c r="BM9" s="1">
        <f>D8</f>
        <v>0</v>
      </c>
      <c r="BN9" s="25"/>
      <c r="BO9" s="1"/>
      <c r="BQ9" s="1"/>
    </row>
    <row r="10" spans="1:71" hidden="1" outlineLevel="1" x14ac:dyDescent="0.3">
      <c r="B10" s="15">
        <f>COUNTIF(B3:B3,"=Permanente")</f>
        <v>1</v>
      </c>
      <c r="F10" s="25"/>
      <c r="O10" s="17" t="s">
        <v>9</v>
      </c>
      <c r="P10" s="15">
        <v>0</v>
      </c>
      <c r="Q10" s="4"/>
      <c r="AI10" s="32">
        <f>SUMIF(B72:B76,AI9,H72:H76)</f>
        <v>0</v>
      </c>
      <c r="AR10" s="15">
        <v>1</v>
      </c>
      <c r="AS10" s="15" t="s">
        <v>83</v>
      </c>
      <c r="BG10" s="21" t="s">
        <v>64</v>
      </c>
      <c r="BH10" s="15" t="s">
        <v>4</v>
      </c>
      <c r="BI10" s="15">
        <v>0.3</v>
      </c>
      <c r="BJ10" s="16">
        <f>BI10*$BI$7</f>
        <v>0.06</v>
      </c>
      <c r="BK10" s="30">
        <f>E6</f>
        <v>0</v>
      </c>
      <c r="BL10" s="15" t="str">
        <f>E7</f>
        <v>I</v>
      </c>
      <c r="BM10" s="1">
        <f>E8</f>
        <v>0</v>
      </c>
      <c r="BN10" s="25">
        <f>(0.67*BM10+0.33*BM11)*BI10</f>
        <v>0</v>
      </c>
      <c r="BO10" s="1"/>
    </row>
    <row r="11" spans="1:71" hidden="1" outlineLevel="1" x14ac:dyDescent="0.3">
      <c r="B11" s="17" t="s">
        <v>104</v>
      </c>
      <c r="O11" s="16">
        <f>COUNTIFS(B3:B3,"=Permanente",O3:O3,"=0")/B10</f>
        <v>1</v>
      </c>
      <c r="P11" s="17" t="s">
        <v>81</v>
      </c>
      <c r="AR11" s="17" t="s">
        <v>47</v>
      </c>
      <c r="BG11" s="21" t="s">
        <v>87</v>
      </c>
      <c r="BH11" s="15" t="s">
        <v>78</v>
      </c>
      <c r="BJ11" s="16"/>
      <c r="BK11" s="58">
        <f>F6</f>
        <v>0</v>
      </c>
      <c r="BL11" s="15" t="str">
        <f>F7</f>
        <v>I</v>
      </c>
      <c r="BM11" s="1">
        <f>F8</f>
        <v>0</v>
      </c>
      <c r="BN11" s="7"/>
      <c r="BO11" s="1"/>
      <c r="BQ11" s="1"/>
    </row>
    <row r="12" spans="1:71" hidden="1" outlineLevel="1" x14ac:dyDescent="0.3">
      <c r="B12" s="16">
        <f>B10/B6</f>
        <v>1</v>
      </c>
      <c r="O12" s="17" t="str">
        <f>IF(O11&lt;0.15,"MB",IF(AND(O11&gt;0.35,O11&lt;=0.45),"F",IF(AND(O11&gt;0.25,O11&lt;=0.35),"R",IF(AND(O11&gt;0.15,O11&lt;=0.25),"B","I"))))</f>
        <v>I</v>
      </c>
      <c r="P12" s="4">
        <f>P6+P10*P8/LARGE(P8,1)*MEDIAN(P3)</f>
        <v>0</v>
      </c>
      <c r="AR12" s="15">
        <v>0</v>
      </c>
      <c r="BG12" s="21" t="s">
        <v>63</v>
      </c>
      <c r="BH12" s="15" t="s">
        <v>6</v>
      </c>
      <c r="BI12" s="15">
        <v>0.3</v>
      </c>
      <c r="BJ12" s="16">
        <f>BI12*$BI$7</f>
        <v>0.06</v>
      </c>
      <c r="BK12" s="31">
        <f>M6</f>
        <v>0</v>
      </c>
      <c r="BL12" s="15" t="str">
        <f>M7</f>
        <v>I</v>
      </c>
      <c r="BM12" s="1">
        <f>M8</f>
        <v>0</v>
      </c>
      <c r="BN12" s="25">
        <f>BM12*BI12</f>
        <v>0</v>
      </c>
      <c r="BO12" s="1"/>
      <c r="BQ12" s="1"/>
    </row>
    <row r="13" spans="1:71" hidden="1" outlineLevel="1" x14ac:dyDescent="0.3">
      <c r="B13" s="6" t="str">
        <f>IF(B12&gt;0.7,"OK","REDUZIR DC")</f>
        <v>OK</v>
      </c>
      <c r="O13" s="15">
        <f>SUMIF(B57:B61,O12,H57:H61)</f>
        <v>0</v>
      </c>
      <c r="P13" s="17" t="str">
        <f>IF(P12&lt;0.2,"I",IF(AND(P12&gt;=0.2,P12&lt;0.3),"F",IF(AND(P12&gt;=0.3,P12&lt;0.4),"R",IF(AND(P12&gt;=0.4,P12&lt;0.5),"B","MB"))))</f>
        <v>I</v>
      </c>
      <c r="AR13" s="17" t="s">
        <v>81</v>
      </c>
      <c r="BG13" s="21" t="s">
        <v>57</v>
      </c>
      <c r="BH13" s="11" t="s">
        <v>50</v>
      </c>
      <c r="BI13" s="15">
        <v>0.1</v>
      </c>
      <c r="BJ13" s="16">
        <f>BI13*$BI$7</f>
        <v>2.0000000000000004E-2</v>
      </c>
      <c r="BK13" s="62">
        <f>N6</f>
        <v>0</v>
      </c>
      <c r="BL13" s="15" t="str">
        <f>N7</f>
        <v>I</v>
      </c>
      <c r="BM13" s="1">
        <f>N8</f>
        <v>0</v>
      </c>
      <c r="BN13" s="25">
        <f>BM13*BI13</f>
        <v>0</v>
      </c>
      <c r="BO13" s="1"/>
      <c r="BQ13" s="1"/>
    </row>
    <row r="14" spans="1:71" s="17" customFormat="1" hidden="1" outlineLevel="1" x14ac:dyDescent="0.3">
      <c r="A14" s="38"/>
      <c r="O14" s="56"/>
      <c r="P14" s="32">
        <f>SUMIF(B62:B66,P13,H62:H66)</f>
        <v>0</v>
      </c>
      <c r="AR14" s="4">
        <f>AR8+AR12*AR10/LARGE(AR10,1)*MEDIAN(AR3)</f>
        <v>0</v>
      </c>
      <c r="AS14" s="15"/>
      <c r="BG14" s="21"/>
      <c r="BH14" s="15"/>
      <c r="BI14" s="15"/>
      <c r="BJ14" s="16"/>
      <c r="BK14" s="12"/>
      <c r="BL14" s="15"/>
      <c r="BM14" s="1"/>
      <c r="BN14" s="25"/>
      <c r="BO14" s="1"/>
      <c r="BP14" s="15"/>
      <c r="BQ14" s="1"/>
    </row>
    <row r="15" spans="1:71" s="17" customFormat="1" hidden="1" outlineLevel="1" x14ac:dyDescent="0.3">
      <c r="A15" s="38"/>
      <c r="O15" s="17" t="s">
        <v>10</v>
      </c>
      <c r="P15" s="56"/>
      <c r="AR15" s="17" t="str">
        <f>IF(AR14&lt;0.1,"I",IF(AND(AR14&gt;=0.1,AR14&lt;0.15),"F",IF(AND(AR14&gt;=0.15,AR14&lt;0.2),"R",IF(AND(AR14&gt;=0.2,AR14&lt;0.25),"B","MB"))))</f>
        <v>I</v>
      </c>
      <c r="AS15" s="15"/>
      <c r="BG15" s="20" t="s">
        <v>71</v>
      </c>
      <c r="BI15" s="18">
        <v>0.35</v>
      </c>
      <c r="BJ15" s="18"/>
      <c r="BK15" s="14"/>
      <c r="BM15" s="1"/>
      <c r="BN15" s="24">
        <f>SUM(BN16:BN19)</f>
        <v>0</v>
      </c>
      <c r="BO15" s="17" t="str">
        <f>IF(BN15&lt;2,"I",IF(AND(BN15&gt;=2,BN15&lt;4),"F",IF(AND(BN15&gt;=4,BN15&lt;6),"R",IF(AND(BN15&gt;=6,BN15&lt;8),"B","MB"))))</f>
        <v>I</v>
      </c>
      <c r="BP15" s="15"/>
      <c r="BQ15" s="1"/>
    </row>
    <row r="16" spans="1:71" hidden="1" outlineLevel="1" x14ac:dyDescent="0.3">
      <c r="A16" t="s">
        <v>133</v>
      </c>
      <c r="B16" t="s">
        <v>140</v>
      </c>
      <c r="C16" t="s">
        <v>134</v>
      </c>
      <c r="D16" t="s">
        <v>135</v>
      </c>
      <c r="E16" t="s">
        <v>136</v>
      </c>
      <c r="F16" t="s">
        <v>137</v>
      </c>
      <c r="G16" t="s">
        <v>138</v>
      </c>
      <c r="H16" t="s">
        <v>139</v>
      </c>
      <c r="O16" s="15">
        <f>SUMIF(B3:B3,"=Permanente",O3:O3)+SUMIF(B3:B3,"=Colaborador",O3:O3)</f>
        <v>0</v>
      </c>
      <c r="AR16" s="32">
        <f>SUMIF(B82:B86,AR15,H82:H86)</f>
        <v>0</v>
      </c>
      <c r="AS16" s="17"/>
      <c r="BG16" s="21" t="s">
        <v>58</v>
      </c>
      <c r="BH16" s="15" t="s">
        <v>8</v>
      </c>
      <c r="BI16" s="15">
        <v>0.3</v>
      </c>
      <c r="BJ16" s="16">
        <f>BI16*$BI$15</f>
        <v>0.105</v>
      </c>
      <c r="BK16" s="13">
        <f>O6</f>
        <v>0</v>
      </c>
      <c r="BL16" s="15" t="str">
        <f>O7</f>
        <v>I</v>
      </c>
      <c r="BM16" s="1">
        <f>O8</f>
        <v>0</v>
      </c>
      <c r="BN16" s="8">
        <f>BM16*BI16</f>
        <v>0</v>
      </c>
      <c r="BO16" s="1"/>
      <c r="BQ16" s="1"/>
    </row>
    <row r="17" spans="1:71" hidden="1" outlineLevel="1" x14ac:dyDescent="0.3">
      <c r="A17" t="s">
        <v>3</v>
      </c>
      <c r="B17" t="s">
        <v>141</v>
      </c>
      <c r="C17">
        <v>0</v>
      </c>
      <c r="D17">
        <v>0.1</v>
      </c>
      <c r="E17">
        <v>0</v>
      </c>
      <c r="F17">
        <v>2</v>
      </c>
      <c r="G17" s="53">
        <f>$C$6</f>
        <v>0</v>
      </c>
      <c r="H17" s="46">
        <f>(F17-E17)/(D17-C17)*(G17-C17)+E17</f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BG17" s="21" t="s">
        <v>65</v>
      </c>
      <c r="BH17" s="15" t="s">
        <v>9</v>
      </c>
      <c r="BI17" s="15">
        <v>0.1</v>
      </c>
      <c r="BJ17" s="16">
        <f t="shared" ref="BJ17:BJ19" si="4">BI17*$BI$15</f>
        <v>3.4999999999999996E-2</v>
      </c>
      <c r="BK17" s="31">
        <f>O11</f>
        <v>1</v>
      </c>
      <c r="BL17" s="10" t="str">
        <f>O12</f>
        <v>I</v>
      </c>
      <c r="BM17" s="1">
        <f>O13</f>
        <v>0</v>
      </c>
      <c r="BN17" s="8">
        <f>BM17*BI17</f>
        <v>0</v>
      </c>
      <c r="BO17" s="1"/>
      <c r="BQ17" s="1"/>
    </row>
    <row r="18" spans="1:71" hidden="1" outlineLevel="1" x14ac:dyDescent="0.3">
      <c r="A18" t="s">
        <v>3</v>
      </c>
      <c r="B18" t="s">
        <v>96</v>
      </c>
      <c r="C18">
        <v>0.1</v>
      </c>
      <c r="D18">
        <v>0.2</v>
      </c>
      <c r="E18">
        <v>2</v>
      </c>
      <c r="F18">
        <v>4</v>
      </c>
      <c r="G18" s="53">
        <f t="shared" ref="G18:G21" si="5">$C$6</f>
        <v>0</v>
      </c>
      <c r="H18" s="46">
        <f t="shared" ref="H18:H21" si="6">(F18-E18)/(D18-C18)*(G18-C18)+E18</f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BG18" s="21" t="s">
        <v>59</v>
      </c>
      <c r="BH18" s="15" t="s">
        <v>93</v>
      </c>
      <c r="BI18" s="15">
        <v>0.5</v>
      </c>
      <c r="BJ18" s="16">
        <f t="shared" si="4"/>
        <v>0.17499999999999999</v>
      </c>
      <c r="BK18" s="13">
        <f>P12</f>
        <v>0</v>
      </c>
      <c r="BL18" s="15" t="str">
        <f>P13</f>
        <v>I</v>
      </c>
      <c r="BM18" s="1">
        <f>P14</f>
        <v>0</v>
      </c>
      <c r="BN18" s="8">
        <f>BM18*BI18</f>
        <v>0</v>
      </c>
      <c r="BO18" s="1"/>
      <c r="BQ18" s="1"/>
    </row>
    <row r="19" spans="1:71" hidden="1" outlineLevel="1" x14ac:dyDescent="0.3">
      <c r="A19" t="s">
        <v>3</v>
      </c>
      <c r="B19" t="s">
        <v>95</v>
      </c>
      <c r="C19">
        <v>0.2</v>
      </c>
      <c r="D19">
        <v>0.3</v>
      </c>
      <c r="E19">
        <v>4</v>
      </c>
      <c r="F19">
        <v>6</v>
      </c>
      <c r="G19" s="53">
        <f t="shared" si="5"/>
        <v>0</v>
      </c>
      <c r="H19" s="46">
        <f t="shared" si="6"/>
        <v>0</v>
      </c>
      <c r="BG19" s="21" t="s">
        <v>51</v>
      </c>
      <c r="BH19" s="15" t="s">
        <v>35</v>
      </c>
      <c r="BI19" s="15">
        <v>0.1</v>
      </c>
      <c r="BJ19" s="16">
        <f t="shared" si="4"/>
        <v>3.4999999999999996E-2</v>
      </c>
      <c r="BK19" s="12">
        <f>AH6</f>
        <v>100</v>
      </c>
      <c r="BL19" s="15" t="str">
        <f>AH7</f>
        <v>I</v>
      </c>
      <c r="BM19" s="1">
        <f>AH8</f>
        <v>0</v>
      </c>
      <c r="BN19" s="8">
        <f>BM19*BI19</f>
        <v>0</v>
      </c>
      <c r="BO19" s="1"/>
    </row>
    <row r="20" spans="1:71" s="17" customFormat="1" hidden="1" outlineLevel="1" x14ac:dyDescent="0.3">
      <c r="A20" t="s">
        <v>3</v>
      </c>
      <c r="B20" t="s">
        <v>98</v>
      </c>
      <c r="C20">
        <v>0.3</v>
      </c>
      <c r="D20">
        <v>0.4</v>
      </c>
      <c r="E20">
        <v>6</v>
      </c>
      <c r="F20">
        <v>8</v>
      </c>
      <c r="G20" s="53">
        <f t="shared" si="5"/>
        <v>0</v>
      </c>
      <c r="H20" s="46">
        <f t="shared" si="6"/>
        <v>0</v>
      </c>
      <c r="BG20" s="21"/>
      <c r="BH20" s="15"/>
      <c r="BI20" s="15"/>
      <c r="BJ20" s="16"/>
      <c r="BK20" s="12"/>
      <c r="BL20" s="15"/>
      <c r="BM20" s="1"/>
      <c r="BN20" s="25"/>
      <c r="BO20" s="1"/>
      <c r="BP20" s="15"/>
      <c r="BQ20" s="15"/>
    </row>
    <row r="21" spans="1:71" s="17" customFormat="1" hidden="1" outlineLevel="1" x14ac:dyDescent="0.3">
      <c r="A21" t="s">
        <v>3</v>
      </c>
      <c r="B21" t="s">
        <v>92</v>
      </c>
      <c r="C21">
        <v>0.4</v>
      </c>
      <c r="D21">
        <v>1</v>
      </c>
      <c r="E21">
        <v>8</v>
      </c>
      <c r="F21">
        <v>10</v>
      </c>
      <c r="G21" s="53">
        <f t="shared" si="5"/>
        <v>0</v>
      </c>
      <c r="H21" s="46">
        <f t="shared" si="6"/>
        <v>6.6666666666666661</v>
      </c>
      <c r="BG21" s="20" t="s">
        <v>72</v>
      </c>
      <c r="BI21" s="18">
        <v>0.35</v>
      </c>
      <c r="BJ21" s="18"/>
      <c r="BK21" s="14"/>
      <c r="BM21" s="1"/>
      <c r="BN21" s="24">
        <f>SUM(BN22:BN25)</f>
        <v>0</v>
      </c>
      <c r="BO21" s="17" t="str">
        <f>IF(BN21&lt;2,"I",IF(AND(BN21&gt;=2,BN21&lt;4),"F",IF(AND(BN21&gt;=4,BN21&lt;6),"R",IF(AND(BN21&gt;=6,BN21&lt;8),"B","MB"))))</f>
        <v>I</v>
      </c>
      <c r="BP21" s="15"/>
      <c r="BQ21" s="15"/>
      <c r="BR21" s="15"/>
      <c r="BS21" s="15"/>
    </row>
    <row r="22" spans="1:71" hidden="1" outlineLevel="1" x14ac:dyDescent="0.3">
      <c r="A22" t="s">
        <v>142</v>
      </c>
      <c r="B22" t="s">
        <v>141</v>
      </c>
      <c r="C22">
        <v>0</v>
      </c>
      <c r="D22">
        <v>3</v>
      </c>
      <c r="E22">
        <v>0</v>
      </c>
      <c r="F22">
        <v>2</v>
      </c>
      <c r="G22" s="54">
        <f>$D$6</f>
        <v>0</v>
      </c>
      <c r="H22" s="46">
        <f>(F22-E22)/(D22-C22)*(G22-C22)+E22</f>
        <v>0</v>
      </c>
      <c r="Q22" s="26"/>
      <c r="BG22" s="21" t="s">
        <v>60</v>
      </c>
      <c r="BH22" s="15" t="s">
        <v>36</v>
      </c>
      <c r="BI22" s="15">
        <v>0.5</v>
      </c>
      <c r="BJ22" s="16">
        <f>BI22*$BI$21</f>
        <v>0.17499999999999999</v>
      </c>
      <c r="BK22" s="13">
        <f>AI8</f>
        <v>0</v>
      </c>
      <c r="BL22" s="15" t="str">
        <f>AI9</f>
        <v>I</v>
      </c>
      <c r="BM22" s="1">
        <f>AI10</f>
        <v>0</v>
      </c>
      <c r="BN22" s="25">
        <f>BM22*BI22</f>
        <v>0</v>
      </c>
      <c r="BO22" s="1"/>
    </row>
    <row r="23" spans="1:71" hidden="1" outlineLevel="1" x14ac:dyDescent="0.3">
      <c r="A23" t="s">
        <v>142</v>
      </c>
      <c r="B23" t="s">
        <v>96</v>
      </c>
      <c r="C23">
        <v>3</v>
      </c>
      <c r="D23">
        <v>4</v>
      </c>
      <c r="E23">
        <v>2</v>
      </c>
      <c r="F23">
        <v>4</v>
      </c>
      <c r="G23" s="54">
        <f t="shared" ref="G23:G26" si="7">$D$6</f>
        <v>0</v>
      </c>
      <c r="H23" s="46">
        <f t="shared" ref="H23:H25" si="8">(F23-E23)/(D23-C23)*(G23-C23)+E23</f>
        <v>-4</v>
      </c>
      <c r="R23" s="26"/>
      <c r="BG23" s="21" t="s">
        <v>66</v>
      </c>
      <c r="BH23" s="15" t="s">
        <v>41</v>
      </c>
      <c r="BI23" s="15">
        <v>0.3</v>
      </c>
      <c r="BJ23" s="16">
        <f t="shared" ref="BJ23:BJ25" si="9">BI23*$BI$21</f>
        <v>0.105</v>
      </c>
      <c r="BK23" s="31">
        <f>AQ6</f>
        <v>0</v>
      </c>
      <c r="BL23" s="15" t="str">
        <f>AQ7</f>
        <v>I</v>
      </c>
      <c r="BM23" s="1">
        <f>AQ8</f>
        <v>0</v>
      </c>
      <c r="BN23" s="25">
        <f>BM23*BI23</f>
        <v>0</v>
      </c>
      <c r="BO23" s="1"/>
    </row>
    <row r="24" spans="1:71" hidden="1" outlineLevel="1" x14ac:dyDescent="0.3">
      <c r="A24" t="s">
        <v>142</v>
      </c>
      <c r="B24" t="s">
        <v>95</v>
      </c>
      <c r="C24">
        <v>4</v>
      </c>
      <c r="D24">
        <v>5.5</v>
      </c>
      <c r="E24">
        <v>4</v>
      </c>
      <c r="F24">
        <v>6</v>
      </c>
      <c r="G24" s="54">
        <f t="shared" si="7"/>
        <v>0</v>
      </c>
      <c r="H24" s="46">
        <f t="shared" si="8"/>
        <v>-1.333333333333333</v>
      </c>
      <c r="Q24" s="26"/>
      <c r="BG24" s="21" t="s">
        <v>61</v>
      </c>
      <c r="BH24" s="15" t="s">
        <v>94</v>
      </c>
      <c r="BI24" s="15">
        <v>0.2</v>
      </c>
      <c r="BJ24" s="16">
        <f t="shared" si="9"/>
        <v>6.9999999999999993E-2</v>
      </c>
      <c r="BK24" s="13">
        <f>AR14</f>
        <v>0</v>
      </c>
      <c r="BL24" s="15" t="str">
        <f>AR15</f>
        <v>I</v>
      </c>
      <c r="BM24" s="1">
        <f>AR16</f>
        <v>0</v>
      </c>
      <c r="BN24" s="25">
        <f>BM24*BI24</f>
        <v>0</v>
      </c>
      <c r="BO24" s="1"/>
    </row>
    <row r="25" spans="1:71" hidden="1" outlineLevel="1" x14ac:dyDescent="0.3">
      <c r="A25" t="s">
        <v>142</v>
      </c>
      <c r="B25" t="s">
        <v>98</v>
      </c>
      <c r="C25">
        <v>5.5</v>
      </c>
      <c r="D25">
        <v>7</v>
      </c>
      <c r="E25">
        <v>6</v>
      </c>
      <c r="F25">
        <v>8</v>
      </c>
      <c r="G25" s="54">
        <f t="shared" si="7"/>
        <v>0</v>
      </c>
      <c r="H25" s="46">
        <f t="shared" si="8"/>
        <v>-1.333333333333333</v>
      </c>
      <c r="Q25" s="26"/>
      <c r="BG25" s="21" t="s">
        <v>52</v>
      </c>
      <c r="BH25" s="15" t="s">
        <v>97</v>
      </c>
      <c r="BI25" s="15">
        <v>0</v>
      </c>
      <c r="BJ25" s="16">
        <f t="shared" si="9"/>
        <v>0</v>
      </c>
      <c r="BM25" s="1"/>
      <c r="BN25" s="25"/>
    </row>
    <row r="26" spans="1:71" hidden="1" outlineLevel="1" x14ac:dyDescent="0.3">
      <c r="A26" t="s">
        <v>142</v>
      </c>
      <c r="B26" t="s">
        <v>92</v>
      </c>
      <c r="C26">
        <v>7</v>
      </c>
      <c r="D26" s="48">
        <v>10</v>
      </c>
      <c r="E26">
        <v>8</v>
      </c>
      <c r="F26">
        <v>10</v>
      </c>
      <c r="G26" s="54">
        <f t="shared" si="7"/>
        <v>0</v>
      </c>
      <c r="H26" s="46">
        <f>IF(G26&lt;=D26,(F26-E26)/(D26-C26)*(G26-C26)+E26,10)</f>
        <v>3.3333333333333339</v>
      </c>
      <c r="BG26" s="21"/>
      <c r="BJ26" s="16"/>
      <c r="BM26" s="1"/>
      <c r="BN26" s="25"/>
    </row>
    <row r="27" spans="1:71" hidden="1" outlineLevel="1" x14ac:dyDescent="0.3">
      <c r="A27" t="s">
        <v>4</v>
      </c>
      <c r="B27" t="s">
        <v>141</v>
      </c>
      <c r="C27">
        <v>0</v>
      </c>
      <c r="D27">
        <v>0.4</v>
      </c>
      <c r="E27">
        <v>0</v>
      </c>
      <c r="F27">
        <v>2</v>
      </c>
      <c r="G27" s="52">
        <f>$E$6</f>
        <v>0</v>
      </c>
      <c r="H27" s="46">
        <f>(F27-E27)/(D27-C27)*(G27-C27)+E27</f>
        <v>0</v>
      </c>
      <c r="Q27" s="21"/>
      <c r="BG27" s="20" t="s">
        <v>53</v>
      </c>
      <c r="BH27" s="17"/>
      <c r="BI27" s="18">
        <v>0.1</v>
      </c>
      <c r="BJ27" s="18"/>
      <c r="BK27" s="17"/>
      <c r="BL27" s="17"/>
      <c r="BM27" s="1"/>
      <c r="BN27" s="24">
        <f>SUM(BN28:BN30)</f>
        <v>6.6000000000000005</v>
      </c>
      <c r="BO27" s="17" t="str">
        <f>IF(BN27&lt;2,"I",IF(AND(BN27&gt;=2,BN27&lt;4),"F",IF(AND(BN27&gt;=4,BN27&lt;6),"R",IF(AND(BN27&gt;=6,BN27&lt;8),"B","MB"))))</f>
        <v>B</v>
      </c>
    </row>
    <row r="28" spans="1:71" hidden="1" outlineLevel="1" x14ac:dyDescent="0.3">
      <c r="A28" t="s">
        <v>4</v>
      </c>
      <c r="B28" t="s">
        <v>96</v>
      </c>
      <c r="C28">
        <v>0.4</v>
      </c>
      <c r="D28">
        <v>0.6</v>
      </c>
      <c r="E28">
        <v>2</v>
      </c>
      <c r="F28">
        <v>4</v>
      </c>
      <c r="G28" s="52">
        <f t="shared" ref="G28:G36" si="10">$E$6</f>
        <v>0</v>
      </c>
      <c r="H28" s="46">
        <f t="shared" ref="H28:H31" si="11">(F28-E28)/(D28-C28)*(G28-C28)+E28</f>
        <v>-2.0000000000000009</v>
      </c>
      <c r="BG28" s="21" t="s">
        <v>54</v>
      </c>
      <c r="BH28" s="15" t="s">
        <v>50</v>
      </c>
      <c r="BI28" s="15">
        <v>0.6</v>
      </c>
      <c r="BJ28" s="16">
        <f>BI28*$BI$27</f>
        <v>0.06</v>
      </c>
      <c r="BL28" s="15" t="s">
        <v>98</v>
      </c>
      <c r="BM28" s="1">
        <f>IF(BL28="I",1,IF(BL28="F",3,IF(BL28="R",5,IF(BL28="B",7,9))))</f>
        <v>7</v>
      </c>
      <c r="BN28" s="25">
        <f>BM28*BI28</f>
        <v>4.2</v>
      </c>
      <c r="BR28" s="17"/>
      <c r="BS28" s="17"/>
    </row>
    <row r="29" spans="1:71" s="17" customFormat="1" hidden="1" outlineLevel="1" x14ac:dyDescent="0.3">
      <c r="A29" t="s">
        <v>4</v>
      </c>
      <c r="B29" t="s">
        <v>95</v>
      </c>
      <c r="C29">
        <v>0.6</v>
      </c>
      <c r="D29">
        <v>0.8</v>
      </c>
      <c r="E29">
        <v>4</v>
      </c>
      <c r="F29">
        <v>6</v>
      </c>
      <c r="G29" s="52">
        <f t="shared" si="10"/>
        <v>0</v>
      </c>
      <c r="H29" s="46">
        <f t="shared" si="11"/>
        <v>-1.9999999999999973</v>
      </c>
      <c r="BG29" s="21" t="s">
        <v>55</v>
      </c>
      <c r="BH29" s="15" t="s">
        <v>50</v>
      </c>
      <c r="BI29" s="15">
        <v>0.2</v>
      </c>
      <c r="BJ29" s="16">
        <f t="shared" ref="BJ29:BJ30" si="12">BI29*$BI$27</f>
        <v>2.0000000000000004E-2</v>
      </c>
      <c r="BK29" s="15"/>
      <c r="BL29" s="15" t="s">
        <v>98</v>
      </c>
      <c r="BM29" s="1">
        <f t="shared" ref="BM29:BM30" si="13">IF(BL29="I",1,IF(BL29="F",3,IF(BL29="R",5,IF(BL29="B",7,9))))</f>
        <v>7</v>
      </c>
      <c r="BN29" s="25">
        <f>BM29*BI29</f>
        <v>1.4000000000000001</v>
      </c>
      <c r="BO29" s="15"/>
      <c r="BP29" s="15"/>
      <c r="BQ29" s="15"/>
      <c r="BR29" s="15"/>
      <c r="BS29" s="15"/>
    </row>
    <row r="30" spans="1:71" hidden="1" outlineLevel="1" x14ac:dyDescent="0.3">
      <c r="A30" t="s">
        <v>4</v>
      </c>
      <c r="B30" t="s">
        <v>98</v>
      </c>
      <c r="C30">
        <v>0.8</v>
      </c>
      <c r="D30">
        <v>1</v>
      </c>
      <c r="E30">
        <v>6</v>
      </c>
      <c r="F30">
        <v>8</v>
      </c>
      <c r="G30" s="52">
        <f t="shared" si="10"/>
        <v>0</v>
      </c>
      <c r="H30" s="46">
        <f t="shared" si="11"/>
        <v>-2.0000000000000018</v>
      </c>
      <c r="BG30" s="21" t="s">
        <v>56</v>
      </c>
      <c r="BH30" s="15" t="s">
        <v>50</v>
      </c>
      <c r="BI30" s="15">
        <v>0.2</v>
      </c>
      <c r="BJ30" s="16">
        <f t="shared" si="12"/>
        <v>2.0000000000000004E-2</v>
      </c>
      <c r="BL30" s="15" t="s">
        <v>95</v>
      </c>
      <c r="BM30" s="1">
        <f t="shared" si="13"/>
        <v>5</v>
      </c>
      <c r="BN30" s="25">
        <f>BM30*BI30</f>
        <v>1</v>
      </c>
      <c r="BP30" s="17"/>
      <c r="BQ30" s="17"/>
    </row>
    <row r="31" spans="1:71" hidden="1" outlineLevel="1" x14ac:dyDescent="0.3">
      <c r="A31" t="s">
        <v>4</v>
      </c>
      <c r="B31" t="s">
        <v>92</v>
      </c>
      <c r="C31">
        <v>1</v>
      </c>
      <c r="D31">
        <v>2</v>
      </c>
      <c r="E31">
        <v>8</v>
      </c>
      <c r="F31">
        <v>10</v>
      </c>
      <c r="G31" s="52">
        <f t="shared" si="10"/>
        <v>0</v>
      </c>
      <c r="H31" s="46">
        <f t="shared" si="11"/>
        <v>6</v>
      </c>
      <c r="T31" s="27"/>
      <c r="BG31" s="20"/>
      <c r="BH31" s="17"/>
      <c r="BI31" s="17"/>
      <c r="BJ31" s="17"/>
      <c r="BK31" s="17"/>
      <c r="BL31" s="17"/>
      <c r="BM31" s="17"/>
      <c r="BN31" s="17"/>
      <c r="BO31" s="17"/>
      <c r="BP31" s="17"/>
      <c r="BQ31" s="17"/>
    </row>
    <row r="32" spans="1:71" hidden="1" outlineLevel="1" x14ac:dyDescent="0.3">
      <c r="A32" s="63" t="s">
        <v>4</v>
      </c>
      <c r="B32" s="63" t="s">
        <v>141</v>
      </c>
      <c r="C32" s="63">
        <v>4.5</v>
      </c>
      <c r="D32" s="48">
        <v>5</v>
      </c>
      <c r="E32" s="63">
        <v>0</v>
      </c>
      <c r="F32" s="63">
        <v>2</v>
      </c>
      <c r="G32" s="64">
        <f t="shared" si="10"/>
        <v>0</v>
      </c>
      <c r="H32" s="65">
        <f>IF(G32&lt;=D32,(F32-E32)/(D32-C32)*(D32-G32)+E32,0)</f>
        <v>20</v>
      </c>
      <c r="Q32" s="21"/>
      <c r="Y32" s="16"/>
      <c r="BG32" s="20"/>
      <c r="BH32" s="17"/>
      <c r="BI32" s="17"/>
      <c r="BJ32" s="17"/>
      <c r="BK32" s="17"/>
      <c r="BL32" s="17"/>
      <c r="BM32" s="17"/>
      <c r="BN32" s="9"/>
      <c r="BO32" s="17"/>
    </row>
    <row r="33" spans="1:71" hidden="1" outlineLevel="1" x14ac:dyDescent="0.3">
      <c r="A33" s="63" t="s">
        <v>4</v>
      </c>
      <c r="B33" s="63" t="s">
        <v>96</v>
      </c>
      <c r="C33" s="63">
        <v>4</v>
      </c>
      <c r="D33" s="63">
        <v>4.5</v>
      </c>
      <c r="E33" s="63">
        <v>2</v>
      </c>
      <c r="F33" s="63">
        <v>4</v>
      </c>
      <c r="G33" s="64">
        <f t="shared" si="10"/>
        <v>0</v>
      </c>
      <c r="H33" s="65">
        <f t="shared" ref="H33:H36" si="14">(F33-E33)/(D33-C33)*(D33-G33)+E33</f>
        <v>20</v>
      </c>
      <c r="Y33" s="16"/>
    </row>
    <row r="34" spans="1:71" hidden="1" outlineLevel="1" x14ac:dyDescent="0.3">
      <c r="A34" s="63" t="s">
        <v>4</v>
      </c>
      <c r="B34" s="63" t="s">
        <v>95</v>
      </c>
      <c r="C34" s="63">
        <v>3.5</v>
      </c>
      <c r="D34" s="63">
        <v>4</v>
      </c>
      <c r="E34" s="63">
        <v>4</v>
      </c>
      <c r="F34" s="63">
        <v>6</v>
      </c>
      <c r="G34" s="64">
        <f t="shared" si="10"/>
        <v>0</v>
      </c>
      <c r="H34" s="65">
        <f t="shared" si="14"/>
        <v>20</v>
      </c>
      <c r="Y34" s="16"/>
      <c r="BG34" s="17"/>
      <c r="BM34" s="17"/>
      <c r="BN34" s="17"/>
      <c r="BO34" s="17"/>
      <c r="BR34" s="17"/>
      <c r="BS34" s="17"/>
    </row>
    <row r="35" spans="1:71" s="17" customFormat="1" hidden="1" outlineLevel="1" x14ac:dyDescent="0.3">
      <c r="A35" s="63" t="s">
        <v>4</v>
      </c>
      <c r="B35" s="63" t="s">
        <v>98</v>
      </c>
      <c r="C35" s="63">
        <v>3</v>
      </c>
      <c r="D35" s="63">
        <v>3.5</v>
      </c>
      <c r="E35" s="63">
        <v>6</v>
      </c>
      <c r="F35" s="63">
        <v>8</v>
      </c>
      <c r="G35" s="64">
        <f t="shared" si="10"/>
        <v>0</v>
      </c>
      <c r="H35" s="65">
        <f t="shared" si="14"/>
        <v>20</v>
      </c>
      <c r="Y35" s="16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</row>
    <row r="36" spans="1:71" s="17" customFormat="1" hidden="1" outlineLevel="1" x14ac:dyDescent="0.3">
      <c r="A36" s="63" t="s">
        <v>4</v>
      </c>
      <c r="B36" s="63" t="s">
        <v>92</v>
      </c>
      <c r="C36" s="63">
        <v>2</v>
      </c>
      <c r="D36" s="63">
        <v>3</v>
      </c>
      <c r="E36" s="63">
        <v>8</v>
      </c>
      <c r="F36" s="63">
        <v>10</v>
      </c>
      <c r="G36" s="64">
        <f t="shared" si="10"/>
        <v>0</v>
      </c>
      <c r="H36" s="65">
        <f t="shared" si="14"/>
        <v>14</v>
      </c>
      <c r="Y36" s="16"/>
      <c r="BG36" s="33"/>
      <c r="BH36" s="15"/>
      <c r="BI36" s="15"/>
      <c r="BJ36" s="15"/>
      <c r="BK36" s="15"/>
      <c r="BL36" s="15"/>
      <c r="BM36" s="15"/>
      <c r="BN36" s="1"/>
      <c r="BO36" s="16"/>
      <c r="BR36" s="15"/>
      <c r="BS36" s="15"/>
    </row>
    <row r="37" spans="1:71" hidden="1" outlineLevel="1" x14ac:dyDescent="0.3">
      <c r="A37" t="s">
        <v>78</v>
      </c>
      <c r="B37" t="s">
        <v>141</v>
      </c>
      <c r="C37">
        <v>0</v>
      </c>
      <c r="D37">
        <v>1</v>
      </c>
      <c r="E37">
        <v>0</v>
      </c>
      <c r="F37">
        <v>2</v>
      </c>
      <c r="G37" s="51">
        <f>$F$6</f>
        <v>0</v>
      </c>
      <c r="H37" s="46">
        <f>(F37-E37)/(D37-C37)*(G37-C37)+E37</f>
        <v>0</v>
      </c>
      <c r="Y37" s="16"/>
    </row>
    <row r="38" spans="1:71" hidden="1" outlineLevel="1" x14ac:dyDescent="0.3">
      <c r="A38" t="s">
        <v>78</v>
      </c>
      <c r="B38" t="s">
        <v>96</v>
      </c>
      <c r="C38">
        <v>1</v>
      </c>
      <c r="D38">
        <v>2</v>
      </c>
      <c r="E38">
        <v>2</v>
      </c>
      <c r="F38">
        <v>4</v>
      </c>
      <c r="G38" s="51">
        <f t="shared" ref="G38:G41" si="15">$F$6</f>
        <v>0</v>
      </c>
      <c r="H38" s="46">
        <f t="shared" ref="H38:H41" si="16">(F38-E38)/(D38-C38)*(G38-C38)+E38</f>
        <v>0</v>
      </c>
      <c r="Y38" s="16"/>
    </row>
    <row r="39" spans="1:71" ht="17.100000000000001" hidden="1" customHeight="1" outlineLevel="1" x14ac:dyDescent="0.3">
      <c r="A39" t="s">
        <v>78</v>
      </c>
      <c r="B39" t="s">
        <v>95</v>
      </c>
      <c r="C39">
        <v>2</v>
      </c>
      <c r="D39">
        <v>3</v>
      </c>
      <c r="E39">
        <v>4</v>
      </c>
      <c r="F39">
        <v>6</v>
      </c>
      <c r="G39" s="51">
        <f t="shared" si="15"/>
        <v>0</v>
      </c>
      <c r="H39" s="46">
        <f t="shared" si="16"/>
        <v>0</v>
      </c>
      <c r="Q39" s="21"/>
      <c r="Y39" s="16"/>
    </row>
    <row r="40" spans="1:71" hidden="1" outlineLevel="1" x14ac:dyDescent="0.3">
      <c r="A40" t="s">
        <v>78</v>
      </c>
      <c r="B40" t="s">
        <v>98</v>
      </c>
      <c r="C40">
        <v>3</v>
      </c>
      <c r="D40">
        <v>4</v>
      </c>
      <c r="E40">
        <v>6</v>
      </c>
      <c r="F40">
        <v>8</v>
      </c>
      <c r="G40" s="51">
        <f t="shared" si="15"/>
        <v>0</v>
      </c>
      <c r="H40" s="46">
        <f t="shared" si="16"/>
        <v>0</v>
      </c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</row>
    <row r="41" spans="1:71" hidden="1" outlineLevel="1" x14ac:dyDescent="0.3">
      <c r="A41" t="s">
        <v>78</v>
      </c>
      <c r="B41" t="s">
        <v>92</v>
      </c>
      <c r="C41">
        <v>4</v>
      </c>
      <c r="D41">
        <v>5</v>
      </c>
      <c r="E41">
        <v>8</v>
      </c>
      <c r="F41">
        <v>10</v>
      </c>
      <c r="G41" s="51">
        <f t="shared" si="15"/>
        <v>0</v>
      </c>
      <c r="H41" s="46">
        <f t="shared" si="16"/>
        <v>0</v>
      </c>
    </row>
    <row r="42" spans="1:71" s="17" customFormat="1" hidden="1" outlineLevel="1" x14ac:dyDescent="0.3">
      <c r="A42" t="s">
        <v>6</v>
      </c>
      <c r="B42" t="s">
        <v>141</v>
      </c>
      <c r="C42">
        <v>0</v>
      </c>
      <c r="D42">
        <v>0.2</v>
      </c>
      <c r="E42">
        <v>0</v>
      </c>
      <c r="F42">
        <v>2</v>
      </c>
      <c r="G42" s="55">
        <f>$M$6</f>
        <v>0</v>
      </c>
      <c r="H42" s="46">
        <f>(F42-E42)/(D42-C42)*(G42-C42)+E42</f>
        <v>0</v>
      </c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</row>
    <row r="43" spans="1:71" hidden="1" outlineLevel="1" x14ac:dyDescent="0.3">
      <c r="A43" t="s">
        <v>6</v>
      </c>
      <c r="B43" t="s">
        <v>96</v>
      </c>
      <c r="C43">
        <v>0.2</v>
      </c>
      <c r="D43">
        <v>0.3</v>
      </c>
      <c r="E43">
        <v>2</v>
      </c>
      <c r="F43">
        <v>4</v>
      </c>
      <c r="G43" s="55">
        <f t="shared" ref="G43:G46" si="17">$M$6</f>
        <v>0</v>
      </c>
      <c r="H43" s="46">
        <f t="shared" ref="H43:H46" si="18">(F43-E43)/(D43-C43)*(G43-C43)+E43</f>
        <v>-2.0000000000000009</v>
      </c>
    </row>
    <row r="44" spans="1:71" hidden="1" outlineLevel="1" x14ac:dyDescent="0.3">
      <c r="A44" t="s">
        <v>6</v>
      </c>
      <c r="B44" t="s">
        <v>95</v>
      </c>
      <c r="C44">
        <v>0.3</v>
      </c>
      <c r="D44">
        <v>0.45</v>
      </c>
      <c r="E44">
        <v>4</v>
      </c>
      <c r="F44">
        <v>6</v>
      </c>
      <c r="G44" s="55">
        <f t="shared" si="17"/>
        <v>0</v>
      </c>
      <c r="H44" s="46">
        <f t="shared" si="18"/>
        <v>0</v>
      </c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</row>
    <row r="45" spans="1:71" hidden="1" outlineLevel="1" x14ac:dyDescent="0.3">
      <c r="A45" t="s">
        <v>6</v>
      </c>
      <c r="B45" t="s">
        <v>98</v>
      </c>
      <c r="C45">
        <v>0.45</v>
      </c>
      <c r="D45">
        <v>0.6</v>
      </c>
      <c r="E45">
        <v>6</v>
      </c>
      <c r="F45">
        <v>8</v>
      </c>
      <c r="G45" s="55">
        <f t="shared" si="17"/>
        <v>0</v>
      </c>
      <c r="H45" s="46">
        <f t="shared" si="18"/>
        <v>0</v>
      </c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</row>
    <row r="46" spans="1:71" s="17" customFormat="1" hidden="1" outlineLevel="1" x14ac:dyDescent="0.3">
      <c r="A46" t="s">
        <v>6</v>
      </c>
      <c r="B46" t="s">
        <v>92</v>
      </c>
      <c r="C46">
        <v>0.6</v>
      </c>
      <c r="D46">
        <v>1</v>
      </c>
      <c r="E46">
        <v>8</v>
      </c>
      <c r="F46">
        <v>10</v>
      </c>
      <c r="G46" s="55">
        <f t="shared" si="17"/>
        <v>0</v>
      </c>
      <c r="H46" s="46">
        <f t="shared" si="18"/>
        <v>5</v>
      </c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</row>
    <row r="47" spans="1:71" s="17" customFormat="1" hidden="1" outlineLevel="1" x14ac:dyDescent="0.3">
      <c r="A47" t="s">
        <v>8</v>
      </c>
      <c r="B47" t="s">
        <v>141</v>
      </c>
      <c r="C47">
        <v>0</v>
      </c>
      <c r="D47">
        <v>0.4</v>
      </c>
      <c r="E47">
        <v>0</v>
      </c>
      <c r="F47">
        <v>2</v>
      </c>
      <c r="G47" s="57">
        <f>$O$6</f>
        <v>0</v>
      </c>
      <c r="H47" s="46">
        <f>(F47-E47)/(D47-C47)*(G47-C47)+E47</f>
        <v>0</v>
      </c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</row>
    <row r="48" spans="1:71" hidden="1" outlineLevel="1" x14ac:dyDescent="0.3">
      <c r="A48" t="s">
        <v>8</v>
      </c>
      <c r="B48" t="s">
        <v>96</v>
      </c>
      <c r="C48">
        <v>0.4</v>
      </c>
      <c r="D48">
        <v>0.7</v>
      </c>
      <c r="E48">
        <v>2</v>
      </c>
      <c r="F48">
        <v>4</v>
      </c>
      <c r="G48" s="57">
        <f t="shared" ref="G48:G56" si="19">$O$6</f>
        <v>0</v>
      </c>
      <c r="H48" s="46">
        <f t="shared" ref="H48:H51" si="20">(F48-E48)/(D48-C48)*(G48-C48)+E48</f>
        <v>-0.66666666666666741</v>
      </c>
    </row>
    <row r="49" spans="1:8" hidden="1" outlineLevel="1" x14ac:dyDescent="0.3">
      <c r="A49" t="s">
        <v>8</v>
      </c>
      <c r="B49" t="s">
        <v>95</v>
      </c>
      <c r="C49">
        <v>0.7</v>
      </c>
      <c r="D49">
        <v>1</v>
      </c>
      <c r="E49">
        <v>4</v>
      </c>
      <c r="F49">
        <v>6</v>
      </c>
      <c r="G49" s="57">
        <f t="shared" si="19"/>
        <v>0</v>
      </c>
      <c r="H49" s="46">
        <f t="shared" si="20"/>
        <v>-0.66666666666666607</v>
      </c>
    </row>
    <row r="50" spans="1:8" hidden="1" outlineLevel="1" x14ac:dyDescent="0.3">
      <c r="A50" t="s">
        <v>8</v>
      </c>
      <c r="B50" t="s">
        <v>98</v>
      </c>
      <c r="C50">
        <v>1</v>
      </c>
      <c r="D50">
        <v>1.5</v>
      </c>
      <c r="E50">
        <v>6</v>
      </c>
      <c r="F50">
        <v>8</v>
      </c>
      <c r="G50" s="57">
        <f t="shared" si="19"/>
        <v>0</v>
      </c>
      <c r="H50" s="46">
        <f t="shared" si="20"/>
        <v>2</v>
      </c>
    </row>
    <row r="51" spans="1:8" hidden="1" outlineLevel="1" x14ac:dyDescent="0.3">
      <c r="A51" t="s">
        <v>8</v>
      </c>
      <c r="B51" t="s">
        <v>92</v>
      </c>
      <c r="C51">
        <v>1.5</v>
      </c>
      <c r="D51">
        <f>1.5+(5-1.5)/2</f>
        <v>3.25</v>
      </c>
      <c r="E51">
        <v>8</v>
      </c>
      <c r="F51">
        <v>10</v>
      </c>
      <c r="G51" s="57">
        <f t="shared" si="19"/>
        <v>0</v>
      </c>
      <c r="H51" s="46">
        <f t="shared" si="20"/>
        <v>6.2857142857142856</v>
      </c>
    </row>
    <row r="52" spans="1:8" hidden="1" outlineLevel="1" x14ac:dyDescent="0.3">
      <c r="A52" s="63" t="s">
        <v>8</v>
      </c>
      <c r="B52" s="63" t="s">
        <v>141</v>
      </c>
      <c r="C52" s="63">
        <v>10</v>
      </c>
      <c r="D52" s="48">
        <v>12</v>
      </c>
      <c r="E52" s="63">
        <v>0</v>
      </c>
      <c r="F52" s="63">
        <v>2</v>
      </c>
      <c r="G52" s="66">
        <f t="shared" si="19"/>
        <v>0</v>
      </c>
      <c r="H52" s="65">
        <f>IF(G52&lt;=D52,(F52-E52)/(D52-C52)*(D52-G52)+E52,0)</f>
        <v>12</v>
      </c>
    </row>
    <row r="53" spans="1:8" hidden="1" outlineLevel="1" x14ac:dyDescent="0.3">
      <c r="A53" s="63" t="s">
        <v>8</v>
      </c>
      <c r="B53" s="63" t="s">
        <v>96</v>
      </c>
      <c r="C53" s="63">
        <v>8</v>
      </c>
      <c r="D53" s="63">
        <v>10</v>
      </c>
      <c r="E53" s="63">
        <v>2</v>
      </c>
      <c r="F53" s="63">
        <v>4</v>
      </c>
      <c r="G53" s="66">
        <f t="shared" si="19"/>
        <v>0</v>
      </c>
      <c r="H53" s="65">
        <f t="shared" ref="H53:H56" si="21">(F53-E53)/(D53-C53)*(D53-G53)+E53</f>
        <v>12</v>
      </c>
    </row>
    <row r="54" spans="1:8" hidden="1" outlineLevel="1" x14ac:dyDescent="0.3">
      <c r="A54" s="63" t="s">
        <v>8</v>
      </c>
      <c r="B54" s="63" t="s">
        <v>95</v>
      </c>
      <c r="C54" s="63">
        <v>6</v>
      </c>
      <c r="D54" s="63">
        <v>8</v>
      </c>
      <c r="E54" s="63">
        <v>4</v>
      </c>
      <c r="F54" s="63">
        <v>6</v>
      </c>
      <c r="G54" s="66">
        <f t="shared" si="19"/>
        <v>0</v>
      </c>
      <c r="H54" s="65">
        <f t="shared" si="21"/>
        <v>12</v>
      </c>
    </row>
    <row r="55" spans="1:8" hidden="1" outlineLevel="1" x14ac:dyDescent="0.3">
      <c r="A55" s="63" t="s">
        <v>8</v>
      </c>
      <c r="B55" s="63" t="s">
        <v>98</v>
      </c>
      <c r="C55" s="63">
        <v>5</v>
      </c>
      <c r="D55" s="63">
        <v>6</v>
      </c>
      <c r="E55" s="63">
        <v>6</v>
      </c>
      <c r="F55" s="63">
        <v>8</v>
      </c>
      <c r="G55" s="66">
        <f t="shared" si="19"/>
        <v>0</v>
      </c>
      <c r="H55" s="65">
        <f t="shared" si="21"/>
        <v>18</v>
      </c>
    </row>
    <row r="56" spans="1:8" hidden="1" outlineLevel="1" x14ac:dyDescent="0.3">
      <c r="A56" s="63" t="s">
        <v>8</v>
      </c>
      <c r="B56" s="63" t="s">
        <v>92</v>
      </c>
      <c r="C56" s="63">
        <v>3.25</v>
      </c>
      <c r="D56" s="63">
        <v>5</v>
      </c>
      <c r="E56" s="63">
        <v>8</v>
      </c>
      <c r="F56" s="63">
        <v>10</v>
      </c>
      <c r="G56" s="66">
        <f t="shared" si="19"/>
        <v>0</v>
      </c>
      <c r="H56" s="65">
        <f t="shared" si="21"/>
        <v>13.714285714285714</v>
      </c>
    </row>
    <row r="57" spans="1:8" hidden="1" outlineLevel="1" x14ac:dyDescent="0.3">
      <c r="A57" s="63" t="s">
        <v>9</v>
      </c>
      <c r="B57" s="63" t="s">
        <v>141</v>
      </c>
      <c r="C57" s="63">
        <v>0.45</v>
      </c>
      <c r="D57" s="63">
        <v>1</v>
      </c>
      <c r="E57" s="63">
        <v>0</v>
      </c>
      <c r="F57" s="63">
        <v>2</v>
      </c>
      <c r="G57" s="67">
        <f>$O$11</f>
        <v>1</v>
      </c>
      <c r="H57" s="65">
        <f>(F57-E57)/(D57-C57)*(D57-G57)+E57</f>
        <v>0</v>
      </c>
    </row>
    <row r="58" spans="1:8" hidden="1" outlineLevel="1" x14ac:dyDescent="0.3">
      <c r="A58" s="63" t="s">
        <v>9</v>
      </c>
      <c r="B58" s="63" t="s">
        <v>96</v>
      </c>
      <c r="C58" s="63">
        <v>0.35</v>
      </c>
      <c r="D58" s="63">
        <v>0.45</v>
      </c>
      <c r="E58" s="63">
        <v>2</v>
      </c>
      <c r="F58" s="63">
        <v>4</v>
      </c>
      <c r="G58" s="67">
        <f>$O$11</f>
        <v>1</v>
      </c>
      <c r="H58" s="65">
        <f t="shared" ref="H58:H61" si="22">(F58-E58)/(D58-C58)*(D58-G58)+E58</f>
        <v>-8.9999999999999964</v>
      </c>
    </row>
    <row r="59" spans="1:8" hidden="1" outlineLevel="1" x14ac:dyDescent="0.3">
      <c r="A59" s="63" t="s">
        <v>9</v>
      </c>
      <c r="B59" s="63" t="s">
        <v>95</v>
      </c>
      <c r="C59" s="63">
        <v>0.25</v>
      </c>
      <c r="D59" s="63">
        <v>0.35</v>
      </c>
      <c r="E59" s="63">
        <v>4</v>
      </c>
      <c r="F59" s="63">
        <v>6</v>
      </c>
      <c r="G59" s="67">
        <f>$O$11</f>
        <v>1</v>
      </c>
      <c r="H59" s="65">
        <f t="shared" si="22"/>
        <v>-9.0000000000000036</v>
      </c>
    </row>
    <row r="60" spans="1:8" hidden="1" outlineLevel="1" x14ac:dyDescent="0.3">
      <c r="A60" s="63" t="s">
        <v>9</v>
      </c>
      <c r="B60" s="63" t="s">
        <v>98</v>
      </c>
      <c r="C60" s="63">
        <v>0.15</v>
      </c>
      <c r="D60" s="63">
        <v>0.25</v>
      </c>
      <c r="E60" s="63">
        <v>6</v>
      </c>
      <c r="F60" s="63">
        <v>8</v>
      </c>
      <c r="G60" s="67">
        <f>$O$11</f>
        <v>1</v>
      </c>
      <c r="H60" s="65">
        <f t="shared" si="22"/>
        <v>-9</v>
      </c>
    </row>
    <row r="61" spans="1:8" hidden="1" outlineLevel="1" x14ac:dyDescent="0.3">
      <c r="A61" s="63" t="s">
        <v>9</v>
      </c>
      <c r="B61" s="63" t="s">
        <v>92</v>
      </c>
      <c r="C61" s="63">
        <v>0</v>
      </c>
      <c r="D61" s="63">
        <v>0.15</v>
      </c>
      <c r="E61" s="63">
        <v>8</v>
      </c>
      <c r="F61" s="63">
        <v>10</v>
      </c>
      <c r="G61" s="67">
        <f>$O$11</f>
        <v>1</v>
      </c>
      <c r="H61" s="65">
        <f t="shared" si="22"/>
        <v>-3.3333333333333339</v>
      </c>
    </row>
    <row r="62" spans="1:8" hidden="1" outlineLevel="1" x14ac:dyDescent="0.3">
      <c r="A62" s="47" t="s">
        <v>143</v>
      </c>
      <c r="B62" t="s">
        <v>141</v>
      </c>
      <c r="C62">
        <v>0</v>
      </c>
      <c r="D62">
        <v>0.2</v>
      </c>
      <c r="E62">
        <v>0</v>
      </c>
      <c r="F62">
        <v>2</v>
      </c>
      <c r="G62" s="57">
        <f>$P$12</f>
        <v>0</v>
      </c>
      <c r="H62" s="46">
        <f>(F62-E62)/(D62-C62)*(G62-C62)+E62</f>
        <v>0</v>
      </c>
    </row>
    <row r="63" spans="1:8" hidden="1" outlineLevel="1" x14ac:dyDescent="0.3">
      <c r="A63" s="47" t="s">
        <v>143</v>
      </c>
      <c r="B63" t="s">
        <v>96</v>
      </c>
      <c r="C63">
        <v>0.2</v>
      </c>
      <c r="D63">
        <v>0.3</v>
      </c>
      <c r="E63">
        <v>2</v>
      </c>
      <c r="F63">
        <v>4</v>
      </c>
      <c r="G63" s="57">
        <f t="shared" ref="G63:G66" si="23">$P$12</f>
        <v>0</v>
      </c>
      <c r="H63" s="46">
        <f t="shared" ref="H63:H65" si="24">(F63-E63)/(D63-C63)*(G63-C63)+E63</f>
        <v>-2.0000000000000009</v>
      </c>
    </row>
    <row r="64" spans="1:8" hidden="1" outlineLevel="1" x14ac:dyDescent="0.3">
      <c r="A64" s="47" t="s">
        <v>143</v>
      </c>
      <c r="B64" t="s">
        <v>95</v>
      </c>
      <c r="C64">
        <v>0.3</v>
      </c>
      <c r="D64">
        <v>0.4</v>
      </c>
      <c r="E64">
        <v>4</v>
      </c>
      <c r="F64">
        <v>6</v>
      </c>
      <c r="G64" s="57">
        <f t="shared" si="23"/>
        <v>0</v>
      </c>
      <c r="H64" s="46">
        <f t="shared" si="24"/>
        <v>-1.9999999999999973</v>
      </c>
    </row>
    <row r="65" spans="1:8" hidden="1" outlineLevel="1" x14ac:dyDescent="0.3">
      <c r="A65" s="47" t="s">
        <v>143</v>
      </c>
      <c r="B65" t="s">
        <v>98</v>
      </c>
      <c r="C65">
        <v>0.4</v>
      </c>
      <c r="D65">
        <v>0.5</v>
      </c>
      <c r="E65">
        <v>6</v>
      </c>
      <c r="F65">
        <v>8</v>
      </c>
      <c r="G65" s="57">
        <f t="shared" si="23"/>
        <v>0</v>
      </c>
      <c r="H65" s="46">
        <f t="shared" si="24"/>
        <v>-2.0000000000000018</v>
      </c>
    </row>
    <row r="66" spans="1:8" hidden="1" outlineLevel="1" x14ac:dyDescent="0.3">
      <c r="A66" s="47" t="s">
        <v>143</v>
      </c>
      <c r="B66" t="s">
        <v>92</v>
      </c>
      <c r="C66">
        <v>0.5</v>
      </c>
      <c r="D66" s="48">
        <v>0.6</v>
      </c>
      <c r="E66">
        <v>8</v>
      </c>
      <c r="F66">
        <v>10</v>
      </c>
      <c r="G66" s="57">
        <f t="shared" si="23"/>
        <v>0</v>
      </c>
      <c r="H66" s="46">
        <f>IF(G66&lt;=D66,(F66-E66)/(D66-C66)*(G66-C66)+E66,10)</f>
        <v>-2.0000000000000018</v>
      </c>
    </row>
    <row r="67" spans="1:8" hidden="1" outlineLevel="1" x14ac:dyDescent="0.3">
      <c r="A67" s="63" t="s">
        <v>144</v>
      </c>
      <c r="B67" s="63" t="s">
        <v>141</v>
      </c>
      <c r="C67" s="63">
        <v>36</v>
      </c>
      <c r="D67" s="48">
        <v>38</v>
      </c>
      <c r="E67" s="63">
        <v>0</v>
      </c>
      <c r="F67" s="63">
        <v>2</v>
      </c>
      <c r="G67" s="63">
        <f>$AH$6</f>
        <v>100</v>
      </c>
      <c r="H67" s="65">
        <f>IF(G67&lt;=D67,(F67-E67)/(D67-C67)*(D67-G67)+E67,0)</f>
        <v>0</v>
      </c>
    </row>
    <row r="68" spans="1:8" hidden="1" outlineLevel="1" x14ac:dyDescent="0.3">
      <c r="A68" s="63" t="s">
        <v>144</v>
      </c>
      <c r="B68" s="63" t="s">
        <v>96</v>
      </c>
      <c r="C68" s="63">
        <v>34</v>
      </c>
      <c r="D68" s="63">
        <v>36</v>
      </c>
      <c r="E68" s="63">
        <v>2</v>
      </c>
      <c r="F68" s="63">
        <v>4</v>
      </c>
      <c r="G68" s="63">
        <f t="shared" ref="G68:G71" si="25">$AH$6</f>
        <v>100</v>
      </c>
      <c r="H68" s="65">
        <f t="shared" ref="H68:H71" si="26">(F68-E68)/(D68-C68)*(D68-G68)+E68</f>
        <v>-62</v>
      </c>
    </row>
    <row r="69" spans="1:8" hidden="1" outlineLevel="1" x14ac:dyDescent="0.3">
      <c r="A69" s="63" t="s">
        <v>144</v>
      </c>
      <c r="B69" s="63" t="s">
        <v>95</v>
      </c>
      <c r="C69" s="63">
        <v>32</v>
      </c>
      <c r="D69" s="63">
        <v>34</v>
      </c>
      <c r="E69" s="63">
        <v>4</v>
      </c>
      <c r="F69" s="63">
        <v>6</v>
      </c>
      <c r="G69" s="63">
        <f t="shared" si="25"/>
        <v>100</v>
      </c>
      <c r="H69" s="65">
        <f t="shared" si="26"/>
        <v>-62</v>
      </c>
    </row>
    <row r="70" spans="1:8" hidden="1" outlineLevel="1" x14ac:dyDescent="0.3">
      <c r="A70" s="63" t="s">
        <v>144</v>
      </c>
      <c r="B70" s="63" t="s">
        <v>98</v>
      </c>
      <c r="C70" s="63">
        <v>30</v>
      </c>
      <c r="D70" s="63">
        <v>32</v>
      </c>
      <c r="E70" s="63">
        <v>6</v>
      </c>
      <c r="F70" s="63">
        <v>8</v>
      </c>
      <c r="G70" s="63">
        <f t="shared" si="25"/>
        <v>100</v>
      </c>
      <c r="H70" s="65">
        <f t="shared" si="26"/>
        <v>-62</v>
      </c>
    </row>
    <row r="71" spans="1:8" hidden="1" outlineLevel="1" x14ac:dyDescent="0.3">
      <c r="A71" s="63" t="s">
        <v>144</v>
      </c>
      <c r="B71" s="63" t="s">
        <v>92</v>
      </c>
      <c r="C71" s="63">
        <v>0</v>
      </c>
      <c r="D71" s="63">
        <v>30</v>
      </c>
      <c r="E71" s="63">
        <v>8</v>
      </c>
      <c r="F71" s="63">
        <v>10</v>
      </c>
      <c r="G71" s="63">
        <f t="shared" si="25"/>
        <v>100</v>
      </c>
      <c r="H71" s="65">
        <f t="shared" si="26"/>
        <v>3.333333333333333</v>
      </c>
    </row>
    <row r="72" spans="1:8" hidden="1" outlineLevel="1" x14ac:dyDescent="0.3">
      <c r="A72" s="47" t="s">
        <v>36</v>
      </c>
      <c r="B72" t="s">
        <v>141</v>
      </c>
      <c r="C72">
        <v>0</v>
      </c>
      <c r="D72">
        <v>0.3</v>
      </c>
      <c r="E72">
        <v>0</v>
      </c>
      <c r="F72">
        <v>2</v>
      </c>
      <c r="G72" s="57">
        <f>AI$8</f>
        <v>0</v>
      </c>
      <c r="H72" s="46">
        <f>(F72-E72)/(D72-C72)*(G72-C72)+E72</f>
        <v>0</v>
      </c>
    </row>
    <row r="73" spans="1:8" hidden="1" outlineLevel="1" x14ac:dyDescent="0.3">
      <c r="A73" s="47" t="s">
        <v>36</v>
      </c>
      <c r="B73" t="s">
        <v>96</v>
      </c>
      <c r="C73">
        <v>0.3</v>
      </c>
      <c r="D73">
        <v>0.45</v>
      </c>
      <c r="E73">
        <v>2</v>
      </c>
      <c r="F73">
        <v>4</v>
      </c>
      <c r="G73" s="57">
        <f t="shared" ref="G73:G76" si="27">AI$8</f>
        <v>0</v>
      </c>
      <c r="H73" s="46">
        <f t="shared" ref="H73:H75" si="28">(F73-E73)/(D73-C73)*(G73-C73)+E73</f>
        <v>-1.9999999999999996</v>
      </c>
    </row>
    <row r="74" spans="1:8" hidden="1" outlineLevel="1" x14ac:dyDescent="0.3">
      <c r="A74" s="47" t="s">
        <v>36</v>
      </c>
      <c r="B74" t="s">
        <v>95</v>
      </c>
      <c r="C74">
        <v>0.45</v>
      </c>
      <c r="D74">
        <v>0.65</v>
      </c>
      <c r="E74">
        <v>4</v>
      </c>
      <c r="F74">
        <v>6</v>
      </c>
      <c r="G74" s="57">
        <f t="shared" si="27"/>
        <v>0</v>
      </c>
      <c r="H74" s="46">
        <f t="shared" si="28"/>
        <v>-0.5</v>
      </c>
    </row>
    <row r="75" spans="1:8" hidden="1" outlineLevel="1" x14ac:dyDescent="0.3">
      <c r="A75" s="47" t="s">
        <v>36</v>
      </c>
      <c r="B75" t="s">
        <v>98</v>
      </c>
      <c r="C75">
        <v>0.65</v>
      </c>
      <c r="D75">
        <v>0.95</v>
      </c>
      <c r="E75">
        <v>6</v>
      </c>
      <c r="F75">
        <v>8</v>
      </c>
      <c r="G75" s="57">
        <f t="shared" si="27"/>
        <v>0</v>
      </c>
      <c r="H75" s="46">
        <f t="shared" si="28"/>
        <v>1.6666666666666661</v>
      </c>
    </row>
    <row r="76" spans="1:8" hidden="1" outlineLevel="1" x14ac:dyDescent="0.3">
      <c r="A76" s="47" t="s">
        <v>36</v>
      </c>
      <c r="B76" t="s">
        <v>92</v>
      </c>
      <c r="C76">
        <v>0.95</v>
      </c>
      <c r="D76" s="48">
        <v>1.25</v>
      </c>
      <c r="E76">
        <v>8</v>
      </c>
      <c r="F76">
        <v>10</v>
      </c>
      <c r="G76" s="57">
        <f t="shared" si="27"/>
        <v>0</v>
      </c>
      <c r="H76" s="46">
        <f>IF(G76&lt;=D76,(F76-E76)/(D76-C76)*(G76-C76)+E76,10)</f>
        <v>1.6666666666666679</v>
      </c>
    </row>
    <row r="77" spans="1:8" hidden="1" outlineLevel="1" x14ac:dyDescent="0.3">
      <c r="A77" s="47" t="s">
        <v>41</v>
      </c>
      <c r="B77" t="s">
        <v>141</v>
      </c>
      <c r="C77">
        <v>0</v>
      </c>
      <c r="D77">
        <v>0.35</v>
      </c>
      <c r="E77">
        <v>0</v>
      </c>
      <c r="F77">
        <v>2</v>
      </c>
      <c r="G77" s="55">
        <f>$AQ$6</f>
        <v>0</v>
      </c>
      <c r="H77" s="46">
        <f>(F77-E77)/(D77-C77)*(G77-C77)+E77</f>
        <v>0</v>
      </c>
    </row>
    <row r="78" spans="1:8" hidden="1" outlineLevel="1" x14ac:dyDescent="0.3">
      <c r="A78" s="47" t="s">
        <v>41</v>
      </c>
      <c r="B78" t="s">
        <v>96</v>
      </c>
      <c r="C78">
        <v>0.35</v>
      </c>
      <c r="D78">
        <v>0.55000000000000004</v>
      </c>
      <c r="E78">
        <v>2</v>
      </c>
      <c r="F78">
        <v>4</v>
      </c>
      <c r="G78" s="55">
        <f t="shared" ref="G78:G81" si="29">$AQ$6</f>
        <v>0</v>
      </c>
      <c r="H78" s="46">
        <f t="shared" ref="H78:H81" si="30">(F78-E78)/(D78-C78)*(G78-C78)+E78</f>
        <v>-1.4999999999999987</v>
      </c>
    </row>
    <row r="79" spans="1:8" hidden="1" outlineLevel="1" x14ac:dyDescent="0.3">
      <c r="A79" s="47" t="s">
        <v>41</v>
      </c>
      <c r="B79" t="s">
        <v>95</v>
      </c>
      <c r="C79">
        <v>0.55000000000000004</v>
      </c>
      <c r="D79">
        <v>0.7</v>
      </c>
      <c r="E79">
        <v>4</v>
      </c>
      <c r="F79">
        <v>6</v>
      </c>
      <c r="G79" s="55">
        <f t="shared" si="29"/>
        <v>0</v>
      </c>
      <c r="H79" s="46">
        <f t="shared" si="30"/>
        <v>-3.3333333333333384</v>
      </c>
    </row>
    <row r="80" spans="1:8" hidden="1" outlineLevel="1" x14ac:dyDescent="0.3">
      <c r="A80" s="47" t="s">
        <v>41</v>
      </c>
      <c r="B80" t="s">
        <v>98</v>
      </c>
      <c r="C80">
        <v>0.7</v>
      </c>
      <c r="D80">
        <v>0.85</v>
      </c>
      <c r="E80">
        <v>6</v>
      </c>
      <c r="F80">
        <v>8</v>
      </c>
      <c r="G80" s="55">
        <f t="shared" si="29"/>
        <v>0</v>
      </c>
      <c r="H80" s="46">
        <f t="shared" si="30"/>
        <v>-3.3333333333333321</v>
      </c>
    </row>
    <row r="81" spans="1:8" hidden="1" outlineLevel="1" x14ac:dyDescent="0.3">
      <c r="A81" s="47" t="s">
        <v>41</v>
      </c>
      <c r="B81" t="s">
        <v>92</v>
      </c>
      <c r="C81">
        <v>0.85</v>
      </c>
      <c r="D81" s="47">
        <v>1</v>
      </c>
      <c r="E81">
        <v>8</v>
      </c>
      <c r="F81">
        <v>10</v>
      </c>
      <c r="G81" s="55">
        <f t="shared" si="29"/>
        <v>0</v>
      </c>
      <c r="H81" s="46">
        <f t="shared" si="30"/>
        <v>-3.3333333333333321</v>
      </c>
    </row>
    <row r="82" spans="1:8" hidden="1" outlineLevel="1" x14ac:dyDescent="0.3">
      <c r="A82" s="47" t="s">
        <v>145</v>
      </c>
      <c r="B82" t="s">
        <v>141</v>
      </c>
      <c r="C82">
        <v>0</v>
      </c>
      <c r="D82">
        <v>0.1</v>
      </c>
      <c r="E82">
        <v>0</v>
      </c>
      <c r="F82">
        <v>2</v>
      </c>
      <c r="G82" s="57">
        <f>$AR$14</f>
        <v>0</v>
      </c>
      <c r="H82" s="46">
        <f>(F82-E82)/(D82-C82)*(G82-C82)+E82</f>
        <v>0</v>
      </c>
    </row>
    <row r="83" spans="1:8" hidden="1" outlineLevel="1" x14ac:dyDescent="0.3">
      <c r="A83" s="47" t="s">
        <v>145</v>
      </c>
      <c r="B83" t="s">
        <v>96</v>
      </c>
      <c r="C83">
        <v>0.1</v>
      </c>
      <c r="D83">
        <v>0.15</v>
      </c>
      <c r="E83">
        <v>2</v>
      </c>
      <c r="F83">
        <v>4</v>
      </c>
      <c r="G83" s="57">
        <f t="shared" ref="G83:G86" si="31">$AR$14</f>
        <v>0</v>
      </c>
      <c r="H83" s="46">
        <f t="shared" ref="H83:H85" si="32">(F83-E83)/(D83-C83)*(G83-C83)+E83</f>
        <v>-2.0000000000000009</v>
      </c>
    </row>
    <row r="84" spans="1:8" hidden="1" outlineLevel="1" x14ac:dyDescent="0.3">
      <c r="A84" s="47" t="s">
        <v>145</v>
      </c>
      <c r="B84" t="s">
        <v>95</v>
      </c>
      <c r="C84">
        <v>0.15</v>
      </c>
      <c r="D84">
        <v>0.2</v>
      </c>
      <c r="E84">
        <v>4</v>
      </c>
      <c r="F84">
        <v>6</v>
      </c>
      <c r="G84" s="57">
        <f t="shared" si="31"/>
        <v>0</v>
      </c>
      <c r="H84" s="46">
        <f t="shared" si="32"/>
        <v>-1.9999999999999973</v>
      </c>
    </row>
    <row r="85" spans="1:8" hidden="1" outlineLevel="1" x14ac:dyDescent="0.3">
      <c r="A85" s="47" t="s">
        <v>145</v>
      </c>
      <c r="B85" t="s">
        <v>98</v>
      </c>
      <c r="C85">
        <v>0.2</v>
      </c>
      <c r="D85">
        <v>0.25</v>
      </c>
      <c r="E85">
        <v>6</v>
      </c>
      <c r="F85">
        <v>8</v>
      </c>
      <c r="G85" s="57">
        <f t="shared" si="31"/>
        <v>0</v>
      </c>
      <c r="H85" s="46">
        <f t="shared" si="32"/>
        <v>-2.0000000000000018</v>
      </c>
    </row>
    <row r="86" spans="1:8" hidden="1" outlineLevel="1" x14ac:dyDescent="0.3">
      <c r="A86" s="47" t="s">
        <v>145</v>
      </c>
      <c r="B86" t="s">
        <v>92</v>
      </c>
      <c r="C86">
        <v>0.25</v>
      </c>
      <c r="D86" s="48">
        <v>0.3</v>
      </c>
      <c r="E86">
        <v>8</v>
      </c>
      <c r="F86">
        <v>10</v>
      </c>
      <c r="G86" s="57">
        <f t="shared" si="31"/>
        <v>0</v>
      </c>
      <c r="H86" s="46">
        <f>IF(G86&lt;=D86,(F86-E86)/(D86-C86)*(G86-C86)+E86,10)</f>
        <v>-2.0000000000000018</v>
      </c>
    </row>
    <row r="87" spans="1:8" collapsed="1" x14ac:dyDescent="0.3"/>
  </sheetData>
  <protectedRanges>
    <protectedRange sqref="A3:B3 O3 Q3:AE3 AJ3:AK3 AS3:AZ3 F3:L3 AG3:AH3 AM3:AP3 BE3" name="Preencher"/>
    <protectedRange sqref="C3:E3" name="Preencher_1"/>
    <protectedRange sqref="AF3" name="Preencher_2"/>
    <protectedRange sqref="AL3" name="Preencher_3"/>
    <protectedRange sqref="BA3:BD3" name="Preencher_4"/>
  </protectedRanges>
  <conditionalFormatting sqref="B22">
    <cfRule type="containsText" dxfId="177" priority="86" operator="containsText" text="MB">
      <formula>NOT(ISERROR(SEARCH("MB",B22)))</formula>
    </cfRule>
    <cfRule type="containsText" dxfId="176" priority="87" operator="containsText" text="B">
      <formula>NOT(ISERROR(SEARCH("B",B22)))</formula>
    </cfRule>
    <cfRule type="containsText" dxfId="175" priority="88" operator="containsText" text="R">
      <formula>NOT(ISERROR(SEARCH("R",B22)))</formula>
    </cfRule>
    <cfRule type="containsText" dxfId="174" priority="89" operator="containsText" text="F">
      <formula>NOT(ISERROR(SEARCH("F",B22)))</formula>
    </cfRule>
    <cfRule type="containsText" dxfId="173" priority="90" operator="containsText" text="I">
      <formula>NOT(ISERROR(SEARCH("I",B22)))</formula>
    </cfRule>
  </conditionalFormatting>
  <conditionalFormatting sqref="C7">
    <cfRule type="containsText" dxfId="172" priority="81" operator="containsText" text="MB">
      <formula>NOT(ISERROR(SEARCH("MB",C7)))</formula>
    </cfRule>
    <cfRule type="containsText" dxfId="171" priority="82" operator="containsText" text="B">
      <formula>NOT(ISERROR(SEARCH("B",C7)))</formula>
    </cfRule>
    <cfRule type="containsText" dxfId="170" priority="83" operator="containsText" text="R">
      <formula>NOT(ISERROR(SEARCH("R",C7)))</formula>
    </cfRule>
    <cfRule type="containsText" dxfId="169" priority="84" operator="containsText" text="F">
      <formula>NOT(ISERROR(SEARCH("F",C7)))</formula>
    </cfRule>
    <cfRule type="containsText" dxfId="168" priority="85" operator="containsText" text="I">
      <formula>NOT(ISERROR(SEARCH("I",C7)))</formula>
    </cfRule>
  </conditionalFormatting>
  <conditionalFormatting sqref="AI9">
    <cfRule type="containsText" dxfId="167" priority="76" operator="containsText" text="MB">
      <formula>NOT(ISERROR(SEARCH("MB",AI9)))</formula>
    </cfRule>
    <cfRule type="containsText" dxfId="166" priority="77" operator="containsText" text="B">
      <formula>NOT(ISERROR(SEARCH("B",AI9)))</formula>
    </cfRule>
    <cfRule type="containsText" dxfId="165" priority="78" operator="containsText" text="R">
      <formula>NOT(ISERROR(SEARCH("R",AI9)))</formula>
    </cfRule>
    <cfRule type="containsText" dxfId="164" priority="79" operator="containsText" text="F">
      <formula>NOT(ISERROR(SEARCH("F",AI9)))</formula>
    </cfRule>
    <cfRule type="containsText" dxfId="163" priority="80" operator="containsText" text="I">
      <formula>NOT(ISERROR(SEARCH("I",AI9)))</formula>
    </cfRule>
  </conditionalFormatting>
  <conditionalFormatting sqref="AQ7">
    <cfRule type="containsText" dxfId="162" priority="71" operator="containsText" text="MB">
      <formula>NOT(ISERROR(SEARCH("MB",AQ7)))</formula>
    </cfRule>
    <cfRule type="containsText" dxfId="161" priority="72" operator="containsText" text="B">
      <formula>NOT(ISERROR(SEARCH("B",AQ7)))</formula>
    </cfRule>
    <cfRule type="containsText" dxfId="160" priority="73" operator="containsText" text="R">
      <formula>NOT(ISERROR(SEARCH("R",AQ7)))</formula>
    </cfRule>
    <cfRule type="containsText" dxfId="159" priority="74" operator="containsText" text="F">
      <formula>NOT(ISERROR(SEARCH("F",AQ7)))</formula>
    </cfRule>
    <cfRule type="containsText" dxfId="158" priority="75" operator="containsText" text="I">
      <formula>NOT(ISERROR(SEARCH("I",AQ7)))</formula>
    </cfRule>
  </conditionalFormatting>
  <conditionalFormatting sqref="AR15">
    <cfRule type="containsText" dxfId="157" priority="66" operator="containsText" text="MB">
      <formula>NOT(ISERROR(SEARCH("MB",AR15)))</formula>
    </cfRule>
    <cfRule type="containsText" dxfId="156" priority="67" operator="containsText" text="B">
      <formula>NOT(ISERROR(SEARCH("B",AR15)))</formula>
    </cfRule>
    <cfRule type="containsText" dxfId="155" priority="68" operator="containsText" text="R">
      <formula>NOT(ISERROR(SEARCH("R",AR15)))</formula>
    </cfRule>
    <cfRule type="containsText" dxfId="154" priority="69" operator="containsText" text="F">
      <formula>NOT(ISERROR(SEARCH("F",AR15)))</formula>
    </cfRule>
    <cfRule type="containsText" dxfId="153" priority="70" operator="containsText" text="I">
      <formula>NOT(ISERROR(SEARCH("I",AR15)))</formula>
    </cfRule>
  </conditionalFormatting>
  <conditionalFormatting sqref="B12">
    <cfRule type="cellIs" dxfId="152" priority="64" operator="lessThan">
      <formula>0.69</formula>
    </cfRule>
    <cfRule type="cellIs" dxfId="151" priority="65" operator="greaterThan">
      <formula>0.7</formula>
    </cfRule>
  </conditionalFormatting>
  <conditionalFormatting sqref="D7">
    <cfRule type="containsText" dxfId="150" priority="59" operator="containsText" text="MB">
      <formula>NOT(ISERROR(SEARCH("MB",D7)))</formula>
    </cfRule>
    <cfRule type="containsText" dxfId="149" priority="60" operator="containsText" text="B">
      <formula>NOT(ISERROR(SEARCH("B",D7)))</formula>
    </cfRule>
    <cfRule type="containsText" dxfId="148" priority="61" operator="containsText" text="R">
      <formula>NOT(ISERROR(SEARCH("R",D7)))</formula>
    </cfRule>
    <cfRule type="containsText" dxfId="147" priority="62" operator="containsText" text="F">
      <formula>NOT(ISERROR(SEARCH("F",D7)))</formula>
    </cfRule>
    <cfRule type="containsText" dxfId="146" priority="63" operator="containsText" text="I">
      <formula>NOT(ISERROR(SEARCH("I",D7)))</formula>
    </cfRule>
  </conditionalFormatting>
  <conditionalFormatting sqref="E7">
    <cfRule type="containsText" dxfId="145" priority="54" operator="containsText" text="MB">
      <formula>NOT(ISERROR(SEARCH("MB",E7)))</formula>
    </cfRule>
    <cfRule type="containsText" dxfId="144" priority="55" operator="containsText" text="B">
      <formula>NOT(ISERROR(SEARCH("B",E7)))</formula>
    </cfRule>
    <cfRule type="containsText" dxfId="143" priority="56" operator="containsText" text="R">
      <formula>NOT(ISERROR(SEARCH("R",E7)))</formula>
    </cfRule>
    <cfRule type="containsText" dxfId="142" priority="57" operator="containsText" text="F">
      <formula>NOT(ISERROR(SEARCH("F",E7)))</formula>
    </cfRule>
    <cfRule type="containsText" dxfId="141" priority="58" operator="containsText" text="I">
      <formula>NOT(ISERROR(SEARCH("I",E7)))</formula>
    </cfRule>
  </conditionalFormatting>
  <conditionalFormatting sqref="G7:N7">
    <cfRule type="containsText" dxfId="140" priority="49" operator="containsText" text="MB">
      <formula>NOT(ISERROR(SEARCH("MB",G7)))</formula>
    </cfRule>
    <cfRule type="containsText" dxfId="139" priority="50" operator="containsText" text="B">
      <formula>NOT(ISERROR(SEARCH("B",G7)))</formula>
    </cfRule>
    <cfRule type="containsText" dxfId="138" priority="51" operator="containsText" text="R">
      <formula>NOT(ISERROR(SEARCH("R",G7)))</formula>
    </cfRule>
    <cfRule type="containsText" dxfId="137" priority="52" operator="containsText" text="F">
      <formula>NOT(ISERROR(SEARCH("F",G7)))</formula>
    </cfRule>
    <cfRule type="containsText" dxfId="136" priority="53" operator="containsText" text="I">
      <formula>NOT(ISERROR(SEARCH("I",G7)))</formula>
    </cfRule>
  </conditionalFormatting>
  <conditionalFormatting sqref="O7">
    <cfRule type="containsText" dxfId="135" priority="44" operator="containsText" text="MB">
      <formula>NOT(ISERROR(SEARCH("MB",O7)))</formula>
    </cfRule>
    <cfRule type="containsText" dxfId="134" priority="45" operator="containsText" text="B">
      <formula>NOT(ISERROR(SEARCH("B",O7)))</formula>
    </cfRule>
    <cfRule type="containsText" dxfId="133" priority="46" operator="containsText" text="R">
      <formula>NOT(ISERROR(SEARCH("R",O7)))</formula>
    </cfRule>
    <cfRule type="containsText" dxfId="132" priority="47" operator="containsText" text="F">
      <formula>NOT(ISERROR(SEARCH("F",O7)))</formula>
    </cfRule>
    <cfRule type="containsText" dxfId="131" priority="48" operator="containsText" text="I">
      <formula>NOT(ISERROR(SEARCH("I",O7)))</formula>
    </cfRule>
  </conditionalFormatting>
  <conditionalFormatting sqref="O12">
    <cfRule type="containsText" dxfId="130" priority="39" operator="containsText" text="MB">
      <formula>NOT(ISERROR(SEARCH("MB",O12)))</formula>
    </cfRule>
    <cfRule type="containsText" dxfId="129" priority="40" operator="containsText" text="B">
      <formula>NOT(ISERROR(SEARCH("B",O12)))</formula>
    </cfRule>
    <cfRule type="containsText" dxfId="128" priority="41" operator="containsText" text="R">
      <formula>NOT(ISERROR(SEARCH("R",O12)))</formula>
    </cfRule>
    <cfRule type="containsText" dxfId="127" priority="42" operator="containsText" text="F">
      <formula>NOT(ISERROR(SEARCH("F",O12)))</formula>
    </cfRule>
    <cfRule type="containsText" dxfId="126" priority="43" operator="containsText" text="I">
      <formula>NOT(ISERROR(SEARCH("I",O12)))</formula>
    </cfRule>
  </conditionalFormatting>
  <conditionalFormatting sqref="P13">
    <cfRule type="containsText" dxfId="125" priority="34" operator="containsText" text="MB">
      <formula>NOT(ISERROR(SEARCH("MB",P13)))</formula>
    </cfRule>
    <cfRule type="containsText" dxfId="124" priority="35" operator="containsText" text="B">
      <formula>NOT(ISERROR(SEARCH("B",P13)))</formula>
    </cfRule>
    <cfRule type="containsText" dxfId="123" priority="36" operator="containsText" text="R">
      <formula>NOT(ISERROR(SEARCH("R",P13)))</formula>
    </cfRule>
    <cfRule type="containsText" dxfId="122" priority="37" operator="containsText" text="F">
      <formula>NOT(ISERROR(SEARCH("F",P13)))</formula>
    </cfRule>
    <cfRule type="containsText" dxfId="121" priority="38" operator="containsText" text="I">
      <formula>NOT(ISERROR(SEARCH("I",P13)))</formula>
    </cfRule>
  </conditionalFormatting>
  <conditionalFormatting sqref="AH7">
    <cfRule type="containsText" dxfId="120" priority="29" operator="containsText" text="MB">
      <formula>NOT(ISERROR(SEARCH("MB",AH7)))</formula>
    </cfRule>
    <cfRule type="containsText" dxfId="119" priority="30" operator="containsText" text="B">
      <formula>NOT(ISERROR(SEARCH("B",AH7)))</formula>
    </cfRule>
    <cfRule type="containsText" dxfId="118" priority="31" operator="containsText" text="R">
      <formula>NOT(ISERROR(SEARCH("R",AH7)))</formula>
    </cfRule>
    <cfRule type="containsText" dxfId="117" priority="32" operator="containsText" text="F">
      <formula>NOT(ISERROR(SEARCH("F",AH7)))</formula>
    </cfRule>
    <cfRule type="containsText" dxfId="116" priority="33" operator="containsText" text="I">
      <formula>NOT(ISERROR(SEARCH("I",AH7)))</formula>
    </cfRule>
  </conditionalFormatting>
  <conditionalFormatting sqref="P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">
    <cfRule type="iconSet" priority="94">
      <iconSet iconSet="3Symbols">
        <cfvo type="percent" val="0"/>
        <cfvo type="percent" val="33"/>
        <cfvo type="percent" val="67"/>
      </iconSet>
    </cfRule>
  </conditionalFormatting>
  <conditionalFormatting sqref="AQ3">
    <cfRule type="iconSet" priority="95">
      <iconSet iconSet="3Symbols">
        <cfvo type="percent" val="0"/>
        <cfvo type="percent" val="33"/>
        <cfvo type="percent" val="67"/>
      </iconSet>
    </cfRule>
  </conditionalFormatting>
  <conditionalFormatting sqref="F7">
    <cfRule type="containsText" dxfId="115" priority="24" operator="containsText" text="MB">
      <formula>NOT(ISERROR(SEARCH("MB",F7)))</formula>
    </cfRule>
    <cfRule type="containsText" dxfId="114" priority="25" operator="containsText" text="B">
      <formula>NOT(ISERROR(SEARCH("B",F7)))</formula>
    </cfRule>
    <cfRule type="containsText" dxfId="113" priority="26" operator="containsText" text="R">
      <formula>NOT(ISERROR(SEARCH("R",F7)))</formula>
    </cfRule>
    <cfRule type="containsText" dxfId="112" priority="27" operator="containsText" text="F">
      <formula>NOT(ISERROR(SEARCH("F",F7)))</formula>
    </cfRule>
    <cfRule type="containsText" dxfId="111" priority="28" operator="containsText" text="I">
      <formula>NOT(ISERROR(SEARCH("I",F7)))</formula>
    </cfRule>
  </conditionalFormatting>
  <conditionalFormatting sqref="BL3:BL30">
    <cfRule type="containsText" dxfId="110" priority="19" operator="containsText" text="MB">
      <formula>NOT(ISERROR(SEARCH("MB",BL3)))</formula>
    </cfRule>
    <cfRule type="containsText" dxfId="109" priority="20" operator="containsText" text="B">
      <formula>NOT(ISERROR(SEARCH("B",BL3)))</formula>
    </cfRule>
    <cfRule type="containsText" dxfId="108" priority="21" operator="containsText" text="R">
      <formula>NOT(ISERROR(SEARCH("R",BL3)))</formula>
    </cfRule>
    <cfRule type="containsText" dxfId="107" priority="22" operator="containsText" text="F">
      <formula>NOT(ISERROR(SEARCH("F",BL3)))</formula>
    </cfRule>
    <cfRule type="containsText" dxfId="106" priority="23" operator="containsText" text="I">
      <formula>NOT(ISERROR(SEARCH("I",BL3)))</formula>
    </cfRule>
  </conditionalFormatting>
  <conditionalFormatting sqref="BO2:BO32">
    <cfRule type="containsText" dxfId="105" priority="14" operator="containsText" text="MB">
      <formula>NOT(ISERROR(SEARCH("MB",BO2)))</formula>
    </cfRule>
    <cfRule type="containsText" dxfId="104" priority="15" operator="containsText" text="B">
      <formula>NOT(ISERROR(SEARCH("B",BO2)))</formula>
    </cfRule>
    <cfRule type="containsText" dxfId="103" priority="16" operator="containsText" text="R">
      <formula>NOT(ISERROR(SEARCH("R",BO2)))</formula>
    </cfRule>
    <cfRule type="containsText" dxfId="102" priority="17" operator="containsText" text="F">
      <formula>NOT(ISERROR(SEARCH("F",BO2)))</formula>
    </cfRule>
    <cfRule type="containsText" dxfId="101" priority="18" operator="containsText" text="I">
      <formula>NOT(ISERROR(SEARCH("I",BO2)))</formula>
    </cfRule>
  </conditionalFormatting>
  <conditionalFormatting sqref="BS1">
    <cfRule type="containsText" dxfId="100" priority="9" operator="containsText" text="MB">
      <formula>NOT(ISERROR(SEARCH("MB",BS1)))</formula>
    </cfRule>
    <cfRule type="containsText" dxfId="99" priority="10" operator="containsText" text="B">
      <formula>NOT(ISERROR(SEARCH("B",BS1)))</formula>
    </cfRule>
    <cfRule type="containsText" dxfId="98" priority="11" operator="containsText" text="R">
      <formula>NOT(ISERROR(SEARCH("R",BS1)))</formula>
    </cfRule>
    <cfRule type="containsText" dxfId="97" priority="12" operator="containsText" text="F">
      <formula>NOT(ISERROR(SEARCH("F",BS1)))</formula>
    </cfRule>
    <cfRule type="containsText" dxfId="96" priority="13" operator="containsText" text="I">
      <formula>NOT(ISERROR(SEARCH("I",BS1)))</formula>
    </cfRule>
  </conditionalFormatting>
  <conditionalFormatting sqref="BS2">
    <cfRule type="containsText" dxfId="95" priority="4" operator="containsText" text="MB">
      <formula>NOT(ISERROR(SEARCH("MB",BS2)))</formula>
    </cfRule>
    <cfRule type="containsText" dxfId="94" priority="5" operator="containsText" text="B">
      <formula>NOT(ISERROR(SEARCH("B",BS2)))</formula>
    </cfRule>
    <cfRule type="containsText" dxfId="93" priority="6" operator="containsText" text="R">
      <formula>NOT(ISERROR(SEARCH("R",BS2)))</formula>
    </cfRule>
    <cfRule type="containsText" dxfId="92" priority="7" operator="containsText" text="F">
      <formula>NOT(ISERROR(SEARCH("F",BS2)))</formula>
    </cfRule>
    <cfRule type="containsText" dxfId="91" priority="8" operator="containsText" text="I">
      <formula>NOT(ISERROR(SEARCH("I",BS2)))</formula>
    </cfRule>
  </conditionalFormatting>
  <conditionalFormatting sqref="BO36">
    <cfRule type="cellIs" dxfId="90" priority="2" operator="lessThan">
      <formula>0</formula>
    </cfRule>
    <cfRule type="cellIs" dxfId="89" priority="3" operator="greaterThan">
      <formula>0</formula>
    </cfRule>
  </conditionalFormatting>
  <conditionalFormatting sqref="BQ4:BQ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1">
    <dataValidation type="list" allowBlank="1" showInputMessage="1" showErrorMessage="1" sqref="B3">
      <formula1>$A$8:$A$9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86"/>
  <sheetViews>
    <sheetView tabSelected="1" zoomScale="85" zoomScaleNormal="85" workbookViewId="0">
      <selection activeCell="G19" sqref="G19"/>
    </sheetView>
  </sheetViews>
  <sheetFormatPr defaultColWidth="8.5546875" defaultRowHeight="14.4" x14ac:dyDescent="0.3"/>
  <cols>
    <col min="1" max="1" width="34.21875" style="38" bestFit="1" customWidth="1"/>
    <col min="2" max="2" width="11" style="15" bestFit="1" customWidth="1"/>
    <col min="3" max="3" width="15.77734375" style="15" bestFit="1" customWidth="1"/>
    <col min="4" max="4" width="10.6640625" style="15" bestFit="1" customWidth="1"/>
    <col min="5" max="5" width="13.21875" style="15" bestFit="1" customWidth="1"/>
    <col min="6" max="6" width="8" style="15" bestFit="1" customWidth="1"/>
    <col min="7" max="7" width="7.44140625" style="15" customWidth="1"/>
    <col min="8" max="8" width="8.77734375" style="15" bestFit="1" customWidth="1"/>
    <col min="9" max="12" width="6.21875" style="15" customWidth="1"/>
    <col min="13" max="13" width="7.77734375" style="15" bestFit="1" customWidth="1"/>
    <col min="14" max="14" width="7.77734375" style="15" customWidth="1"/>
    <col min="15" max="15" width="18.88671875" style="15" bestFit="1" customWidth="1"/>
    <col min="16" max="16" width="10" style="15" bestFit="1" customWidth="1"/>
    <col min="17" max="17" width="7.77734375" style="15" bestFit="1" customWidth="1"/>
    <col min="18" max="18" width="4.21875" style="15" bestFit="1" customWidth="1"/>
    <col min="19" max="19" width="3.6640625" style="15" bestFit="1" customWidth="1"/>
    <col min="20" max="20" width="4.44140625" style="15" bestFit="1" customWidth="1"/>
    <col min="21" max="21" width="3.77734375" style="15" bestFit="1" customWidth="1"/>
    <col min="22" max="22" width="4.77734375" style="15" bestFit="1" customWidth="1"/>
    <col min="23" max="23" width="4.88671875" style="15" bestFit="1" customWidth="1"/>
    <col min="24" max="30" width="3.21875" style="15" bestFit="1" customWidth="1"/>
    <col min="31" max="31" width="2.77734375" style="15" bestFit="1" customWidth="1"/>
    <col min="32" max="32" width="4.109375" style="15" bestFit="1" customWidth="1"/>
    <col min="33" max="33" width="3.6640625" style="15" bestFit="1" customWidth="1"/>
    <col min="34" max="34" width="7" style="15" bestFit="1" customWidth="1"/>
    <col min="35" max="35" width="20.77734375" style="15" bestFit="1" customWidth="1"/>
    <col min="36" max="37" width="3.21875" style="15" bestFit="1" customWidth="1"/>
    <col min="38" max="38" width="3.33203125" style="15" bestFit="1" customWidth="1"/>
    <col min="39" max="42" width="3.21875" style="15" bestFit="1" customWidth="1"/>
    <col min="43" max="43" width="12.77734375" style="15" bestFit="1" customWidth="1"/>
    <col min="44" max="44" width="13.44140625" style="15" bestFit="1" customWidth="1"/>
    <col min="45" max="45" width="7.77734375" style="15" bestFit="1" customWidth="1"/>
    <col min="46" max="46" width="4.21875" style="15" bestFit="1" customWidth="1"/>
    <col min="47" max="47" width="3.6640625" style="15" bestFit="1" customWidth="1"/>
    <col min="48" max="48" width="4.44140625" style="15" bestFit="1" customWidth="1"/>
    <col min="49" max="49" width="3.77734375" style="15" bestFit="1" customWidth="1"/>
    <col min="50" max="50" width="4.77734375" style="15" bestFit="1" customWidth="1"/>
    <col min="51" max="51" width="4.88671875" style="15" bestFit="1" customWidth="1"/>
    <col min="52" max="52" width="3.33203125" style="15" bestFit="1" customWidth="1"/>
    <col min="53" max="53" width="4.21875" style="15" bestFit="1" customWidth="1"/>
    <col min="54" max="54" width="3.6640625" style="15" bestFit="1" customWidth="1"/>
    <col min="55" max="55" width="2.77734375" style="15" bestFit="1" customWidth="1"/>
    <col min="56" max="56" width="4.109375" style="15" bestFit="1" customWidth="1"/>
    <col min="57" max="57" width="3.6640625" style="15" bestFit="1" customWidth="1"/>
    <col min="58" max="58" width="12.21875" style="15" customWidth="1"/>
    <col min="59" max="59" width="33.6640625" style="15" bestFit="1" customWidth="1"/>
    <col min="60" max="60" width="15.109375" style="15" bestFit="1" customWidth="1"/>
    <col min="61" max="61" width="5.33203125" style="15" bestFit="1" customWidth="1"/>
    <col min="62" max="62" width="6.88671875" style="15" bestFit="1" customWidth="1"/>
    <col min="63" max="63" width="7.5546875" style="15" customWidth="1"/>
    <col min="64" max="64" width="9.77734375" style="15" bestFit="1" customWidth="1"/>
    <col min="65" max="65" width="7" style="15" bestFit="1" customWidth="1"/>
    <col min="66" max="66" width="11.109375" style="15" bestFit="1" customWidth="1"/>
    <col min="67" max="67" width="17.77734375" style="15" bestFit="1" customWidth="1"/>
    <col min="68" max="68" width="8.5546875" style="15" collapsed="1"/>
    <col min="69" max="69" width="19.5546875" style="15" bestFit="1" customWidth="1"/>
    <col min="70" max="71" width="7.44140625" style="15" bestFit="1" customWidth="1"/>
    <col min="72" max="16384" width="8.5546875" style="15"/>
  </cols>
  <sheetData>
    <row r="1" spans="1:71" s="23" customFormat="1" x14ac:dyDescent="0.3">
      <c r="A1" s="39"/>
      <c r="C1" s="23" t="s">
        <v>40</v>
      </c>
      <c r="O1" s="23" t="s">
        <v>7</v>
      </c>
      <c r="AI1" s="23" t="s">
        <v>30</v>
      </c>
      <c r="BG1" s="20" t="s">
        <v>101</v>
      </c>
      <c r="BH1" s="17" t="s">
        <v>102</v>
      </c>
      <c r="BI1" s="17" t="s">
        <v>89</v>
      </c>
      <c r="BJ1" s="17" t="s">
        <v>106</v>
      </c>
      <c r="BK1" s="17" t="s">
        <v>107</v>
      </c>
      <c r="BL1" s="17" t="s">
        <v>88</v>
      </c>
      <c r="BM1" s="17" t="s">
        <v>90</v>
      </c>
      <c r="BN1" s="17" t="s">
        <v>91</v>
      </c>
      <c r="BO1" s="17" t="s">
        <v>103</v>
      </c>
      <c r="BQ1" s="20" t="s">
        <v>100</v>
      </c>
      <c r="BR1" s="2">
        <f>(BI7*BN7+BI15*BN15+BI21*BN21)/0.9</f>
        <v>0</v>
      </c>
      <c r="BS1" s="17" t="str">
        <f>IF(BR1&lt;2,"I",IF(AND(BR1&gt;=2,BR1&lt;4),"F",IF(AND(BR1&gt;=4,BR1&lt;6),"R",IF(AND(BR1&gt;=6,BR1&lt;8),"B","MB"))))</f>
        <v>I</v>
      </c>
    </row>
    <row r="2" spans="1:71" s="17" customFormat="1" x14ac:dyDescent="0.3">
      <c r="A2" s="20" t="s">
        <v>68</v>
      </c>
      <c r="B2" s="17" t="s">
        <v>0</v>
      </c>
      <c r="C2" s="17" t="s">
        <v>2</v>
      </c>
      <c r="D2" s="17" t="s">
        <v>75</v>
      </c>
      <c r="E2" s="17" t="s">
        <v>105</v>
      </c>
      <c r="F2" s="17" t="s">
        <v>77</v>
      </c>
      <c r="G2" s="17" t="s">
        <v>147</v>
      </c>
      <c r="H2" s="17" t="s">
        <v>148</v>
      </c>
      <c r="I2" s="17" t="s">
        <v>149</v>
      </c>
      <c r="J2" s="17" t="s">
        <v>150</v>
      </c>
      <c r="K2" s="17" t="s">
        <v>146</v>
      </c>
      <c r="L2" s="17" t="s">
        <v>151</v>
      </c>
      <c r="M2" s="17" t="s">
        <v>5</v>
      </c>
      <c r="N2" s="17" t="s">
        <v>152</v>
      </c>
      <c r="O2" s="17" t="s">
        <v>157</v>
      </c>
      <c r="P2" s="17" t="s">
        <v>11</v>
      </c>
      <c r="Q2" s="17" t="s">
        <v>12</v>
      </c>
      <c r="R2" s="17" t="s">
        <v>13</v>
      </c>
      <c r="S2" s="17" t="s">
        <v>14</v>
      </c>
      <c r="T2" s="17" t="s">
        <v>15</v>
      </c>
      <c r="U2" s="17" t="s">
        <v>16</v>
      </c>
      <c r="V2" s="17" t="s">
        <v>17</v>
      </c>
      <c r="W2" s="17" t="s">
        <v>18</v>
      </c>
      <c r="X2" s="17" t="s">
        <v>19</v>
      </c>
      <c r="Y2" s="17" t="s">
        <v>20</v>
      </c>
      <c r="Z2" s="17" t="s">
        <v>21</v>
      </c>
      <c r="AA2" s="17" t="s">
        <v>22</v>
      </c>
      <c r="AB2" s="17" t="s">
        <v>23</v>
      </c>
      <c r="AC2" s="17" t="s">
        <v>24</v>
      </c>
      <c r="AD2" s="17" t="s">
        <v>25</v>
      </c>
      <c r="AE2" s="17" t="s">
        <v>26</v>
      </c>
      <c r="AF2" s="17" t="s">
        <v>27</v>
      </c>
      <c r="AG2" s="17" t="s">
        <v>28</v>
      </c>
      <c r="AH2" s="17" t="s">
        <v>29</v>
      </c>
      <c r="AI2" s="17" t="s">
        <v>31</v>
      </c>
      <c r="AJ2" s="17" t="s">
        <v>19</v>
      </c>
      <c r="AK2" s="17" t="s">
        <v>20</v>
      </c>
      <c r="AL2" s="17" t="s">
        <v>21</v>
      </c>
      <c r="AM2" s="17" t="s">
        <v>22</v>
      </c>
      <c r="AN2" s="17" t="s">
        <v>23</v>
      </c>
      <c r="AO2" s="17" t="s">
        <v>24</v>
      </c>
      <c r="AP2" s="17" t="s">
        <v>25</v>
      </c>
      <c r="AQ2" s="17" t="s">
        <v>32</v>
      </c>
      <c r="AR2" s="17" t="s">
        <v>33</v>
      </c>
      <c r="AS2" s="17" t="s">
        <v>12</v>
      </c>
      <c r="AT2" s="17" t="s">
        <v>13</v>
      </c>
      <c r="AU2" s="17" t="s">
        <v>14</v>
      </c>
      <c r="AV2" s="17" t="s">
        <v>15</v>
      </c>
      <c r="AW2" s="17" t="s">
        <v>16</v>
      </c>
      <c r="AX2" s="17" t="s">
        <v>17</v>
      </c>
      <c r="AY2" s="17" t="s">
        <v>18</v>
      </c>
      <c r="AZ2" s="17" t="s">
        <v>37</v>
      </c>
      <c r="BA2" s="17" t="s">
        <v>38</v>
      </c>
      <c r="BB2" s="17" t="s">
        <v>39</v>
      </c>
      <c r="BC2" s="17" t="s">
        <v>26</v>
      </c>
      <c r="BD2" s="17" t="s">
        <v>27</v>
      </c>
      <c r="BE2" s="17" t="s">
        <v>28</v>
      </c>
      <c r="BG2" s="20" t="s">
        <v>45</v>
      </c>
      <c r="BI2" s="18">
        <v>0</v>
      </c>
      <c r="BN2" s="24">
        <f>SUM(BN3:BN5)</f>
        <v>4.2</v>
      </c>
      <c r="BO2" s="17" t="str">
        <f>IF(BN2&lt;2,"I",IF(AND(BN2&gt;=2,BN2&lt;4),"F",IF(AND(BN2&gt;=4,BN2&lt;6),"R",IF(AND(BN2&gt;=6,BN2&lt;8),"B","MB"))))</f>
        <v>R</v>
      </c>
      <c r="BQ2" s="36" t="s">
        <v>99</v>
      </c>
      <c r="BR2" s="34">
        <f>BN21</f>
        <v>0</v>
      </c>
      <c r="BS2" s="17" t="str">
        <f>IF(BR2&lt;2,"I",IF(AND(BR2&gt;=2,BR2&lt;4),"F",IF(AND(BR2&gt;=4,BR2&lt;6),"R",IF(AND(BR2&gt;=6,BR2&lt;8),"B","MB"))))</f>
        <v>I</v>
      </c>
    </row>
    <row r="3" spans="1:71" x14ac:dyDescent="0.3">
      <c r="A3" s="42" t="str">
        <f>'2020'!A3</f>
        <v>(inserir nome)</v>
      </c>
      <c r="B3" s="42" t="str">
        <f>'2020'!B3</f>
        <v>Permanente</v>
      </c>
      <c r="C3" s="42">
        <f>'2020'!C3</f>
        <v>0</v>
      </c>
      <c r="D3" s="42">
        <f>'2020'!D3</f>
        <v>0</v>
      </c>
      <c r="E3" s="71">
        <f>('2018'!E3+'2019'!E3+'2020'!E3)/3</f>
        <v>0</v>
      </c>
      <c r="F3" s="49">
        <f>G3+K3</f>
        <v>0</v>
      </c>
      <c r="G3" s="49">
        <f>IF(H3=1,SUM(H3:J3),0)</f>
        <v>0</v>
      </c>
      <c r="H3" s="42">
        <f>'2020'!H3</f>
        <v>0</v>
      </c>
      <c r="I3" s="42">
        <f>'2020'!I3</f>
        <v>0</v>
      </c>
      <c r="J3" s="42">
        <f>'2020'!J3</f>
        <v>0</v>
      </c>
      <c r="K3" s="49">
        <f>IF(L3&lt;20000,0,IF(AND(L3&gt;=20000,L3&lt;=50000),1,2))</f>
        <v>0</v>
      </c>
      <c r="L3" s="42">
        <f>'2020'!L3</f>
        <v>0</v>
      </c>
      <c r="M3" s="3">
        <f>COUNTIFS(E3,"&gt;=1",O3,"&gt;=0.5",AQ3,"&gt;=1")</f>
        <v>0</v>
      </c>
      <c r="N3" s="42">
        <f>'2020'!N3</f>
        <v>0</v>
      </c>
      <c r="O3" s="71">
        <f>('2018'!O3+'2019'!O3+'2020'!O3)/3</f>
        <v>0</v>
      </c>
      <c r="P3" s="1">
        <f>4*Q3+3*R3+2*S3+T3+0.1*U3+0.05*V3+0.05*W3+X3+0.9*Y3+0.75*Z3+0.5*AA3+0.3*AB3+0.1*AC3+0.05*AD3+0.1*AE3+0.05*AF3+0.025*AG3</f>
        <v>0</v>
      </c>
      <c r="Q3" s="42">
        <f>('2018'!Q3+'2019'!Q3+'2020'!Q3)</f>
        <v>0</v>
      </c>
      <c r="R3" s="42">
        <f>('2018'!R3+'2019'!R3+'2020'!R3)</f>
        <v>0</v>
      </c>
      <c r="S3" s="42">
        <f>('2018'!S3+'2019'!S3+'2020'!S3)</f>
        <v>0</v>
      </c>
      <c r="T3" s="42">
        <f>('2018'!T3+'2019'!T3+'2020'!T3)</f>
        <v>0</v>
      </c>
      <c r="U3" s="42">
        <f>('2018'!U3+'2019'!U3+'2020'!U3)</f>
        <v>0</v>
      </c>
      <c r="V3" s="42">
        <f>('2018'!V3+'2019'!V3+'2020'!V3)</f>
        <v>0</v>
      </c>
      <c r="W3" s="42">
        <f>('2018'!W3+'2019'!W3+'2020'!W3)</f>
        <v>0</v>
      </c>
      <c r="X3" s="42">
        <f>('2018'!X3+'2019'!X3+'2020'!X3)</f>
        <v>0</v>
      </c>
      <c r="Y3" s="42">
        <f>('2018'!Y3+'2019'!Y3+'2020'!Y3)</f>
        <v>0</v>
      </c>
      <c r="Z3" s="42">
        <f>('2018'!Z3+'2019'!Z3+'2020'!Z3)</f>
        <v>0</v>
      </c>
      <c r="AA3" s="42">
        <f>('2018'!AA3+'2019'!AA3+'2020'!AA3)</f>
        <v>0</v>
      </c>
      <c r="AB3" s="42">
        <f>('2018'!AB3+'2019'!AB3+'2020'!AB3)</f>
        <v>0</v>
      </c>
      <c r="AC3" s="42">
        <f>('2018'!AC3+'2019'!AC3+'2020'!AC3)</f>
        <v>0</v>
      </c>
      <c r="AD3" s="42">
        <f>('2018'!AD3+'2019'!AD3+'2020'!AD3)</f>
        <v>0</v>
      </c>
      <c r="AE3" s="42">
        <f>('2018'!AE3+'2019'!AE3+'2020'!AE3)</f>
        <v>0</v>
      </c>
      <c r="AF3" s="42">
        <f>('2018'!AF3+'2019'!AF3+'2020'!AF3)</f>
        <v>0</v>
      </c>
      <c r="AG3" s="42">
        <f>('2018'!AG3+'2019'!AG3+'2020'!AG3)</f>
        <v>0</v>
      </c>
      <c r="AH3" s="42" t="e">
        <f>MEDIAN('2018'!AH3,'2019'!AH3,'2020'!AH3)</f>
        <v>#NUM!</v>
      </c>
      <c r="AI3" s="1">
        <f t="shared" ref="AI3" si="0">AJ3+0.9*AK3+0.75*AL3+0.5*AM3+0.3*AN3+0.1*AO3+0.05*AP3</f>
        <v>0</v>
      </c>
      <c r="AJ3" s="42">
        <f>('2018'!AJ3+'2019'!AJ3+'2020'!AJ3)</f>
        <v>0</v>
      </c>
      <c r="AK3" s="42">
        <f>('2018'!AK3+'2019'!AK3+'2020'!AK3)</f>
        <v>0</v>
      </c>
      <c r="AL3" s="42">
        <f>('2018'!AL3+'2019'!AL3+'2020'!AL3)</f>
        <v>0</v>
      </c>
      <c r="AM3" s="42">
        <f>('2018'!AM3+'2019'!AM3+'2020'!AM3)</f>
        <v>0</v>
      </c>
      <c r="AN3" s="42">
        <f>('2018'!AN3+'2019'!AN3+'2020'!AN3)</f>
        <v>0</v>
      </c>
      <c r="AO3" s="42">
        <f>('2018'!AO3+'2019'!AO3+'2020'!AO3)</f>
        <v>0</v>
      </c>
      <c r="AP3" s="42">
        <f>('2018'!AP3+'2019'!AP3+'2020'!AP3)</f>
        <v>0</v>
      </c>
      <c r="AQ3" s="3">
        <f t="shared" ref="AQ3" si="1">IF(SUM(AJ3:AL3)&gt;=0.001,1,0)</f>
        <v>0</v>
      </c>
      <c r="AR3" s="1">
        <f t="shared" ref="AR3" si="2">4*AS3+3*AT3+2*AU3+AV3+0.1*AW3+0.05*AX3+0.05*AY3+0.2*AZ3+0.1*BA3+0.5*BB3+0.1*BC3+0.05*BD3+0.025*BE3</f>
        <v>0</v>
      </c>
      <c r="AS3" s="42">
        <f>('2018'!AS3+'2019'!AS3+'2020'!AS3)</f>
        <v>0</v>
      </c>
      <c r="AT3" s="42">
        <f>('2018'!AT3+'2019'!AT3+'2020'!AT3)</f>
        <v>0</v>
      </c>
      <c r="AU3" s="42">
        <f>('2018'!AU3+'2019'!AU3+'2020'!AU3)</f>
        <v>0</v>
      </c>
      <c r="AV3" s="42">
        <f>('2018'!AV3+'2019'!AV3+'2020'!AV3)</f>
        <v>0</v>
      </c>
      <c r="AW3" s="42">
        <f>('2018'!AW3+'2019'!AW3+'2020'!AW3)</f>
        <v>0</v>
      </c>
      <c r="AX3" s="42">
        <f>('2018'!AX3+'2019'!AX3+'2020'!AX3)</f>
        <v>0</v>
      </c>
      <c r="AY3" s="42">
        <f>('2018'!AY3+'2019'!AY3+'2020'!AY3)</f>
        <v>0</v>
      </c>
      <c r="AZ3" s="42">
        <f>('2018'!AZ3+'2019'!AZ3+'2020'!AZ3)</f>
        <v>0</v>
      </c>
      <c r="BA3" s="42">
        <f>('2018'!BA3+'2019'!BA3+'2020'!BA3)</f>
        <v>0</v>
      </c>
      <c r="BB3" s="42">
        <f>('2018'!BB3+'2019'!BB3+'2020'!BB3)</f>
        <v>0</v>
      </c>
      <c r="BC3" s="42">
        <f>('2018'!BC3+'2019'!BC3+'2020'!BC3)</f>
        <v>0</v>
      </c>
      <c r="BD3" s="42">
        <f>('2018'!BD3+'2019'!BD3+'2020'!BD3)</f>
        <v>0</v>
      </c>
      <c r="BE3" s="42">
        <f>('2018'!BE3+'2019'!BE3+'2020'!BE3)</f>
        <v>0</v>
      </c>
      <c r="BG3" s="21" t="s">
        <v>46</v>
      </c>
      <c r="BH3" s="11" t="s">
        <v>50</v>
      </c>
      <c r="BI3" s="15">
        <v>0.4</v>
      </c>
      <c r="BJ3" s="16">
        <v>0</v>
      </c>
      <c r="BL3" s="15" t="s">
        <v>95</v>
      </c>
      <c r="BM3" s="1">
        <f>IF(BL3="I",1,IF(BL3="F",3,IF(BL3="R",5,IF(BL3="B",7,9))))</f>
        <v>5</v>
      </c>
      <c r="BN3" s="25">
        <f>BI3*BM3</f>
        <v>2</v>
      </c>
    </row>
    <row r="4" spans="1:71" x14ac:dyDescent="0.3">
      <c r="A4" s="22" t="s">
        <v>67</v>
      </c>
      <c r="BG4" s="21" t="s">
        <v>48</v>
      </c>
      <c r="BH4" s="11" t="s">
        <v>50</v>
      </c>
      <c r="BI4" s="15">
        <v>0.4</v>
      </c>
      <c r="BJ4" s="16">
        <v>0</v>
      </c>
      <c r="BL4" s="15" t="s">
        <v>96</v>
      </c>
      <c r="BM4" s="1">
        <f t="shared" ref="BM4:BM5" si="3">IF(BL4="I",1,IF(BL4="F",3,IF(BL4="R",5,IF(BL4="B",7,9))))</f>
        <v>3</v>
      </c>
      <c r="BN4" s="25">
        <f>BI4*BM4</f>
        <v>1.2000000000000002</v>
      </c>
      <c r="BQ4" s="1"/>
    </row>
    <row r="5" spans="1:71" x14ac:dyDescent="0.3">
      <c r="B5" s="17" t="s">
        <v>42</v>
      </c>
      <c r="C5" s="17" t="s">
        <v>3</v>
      </c>
      <c r="D5" s="17" t="s">
        <v>76</v>
      </c>
      <c r="E5" s="17" t="s">
        <v>4</v>
      </c>
      <c r="F5" s="17" t="s">
        <v>78</v>
      </c>
      <c r="G5" s="17"/>
      <c r="H5" s="17"/>
      <c r="I5" s="17"/>
      <c r="J5" s="17"/>
      <c r="K5" s="17"/>
      <c r="L5" s="17"/>
      <c r="M5" s="17" t="s">
        <v>6</v>
      </c>
      <c r="N5" s="17" t="s">
        <v>153</v>
      </c>
      <c r="O5" s="17" t="s">
        <v>8</v>
      </c>
      <c r="P5" s="17" t="s">
        <v>79</v>
      </c>
      <c r="Q5" s="6" t="s">
        <v>82</v>
      </c>
      <c r="AH5" s="17" t="s">
        <v>35</v>
      </c>
      <c r="AI5" s="17" t="s">
        <v>36</v>
      </c>
      <c r="AQ5" s="17" t="s">
        <v>41</v>
      </c>
      <c r="AR5" s="17" t="s">
        <v>34</v>
      </c>
      <c r="BG5" s="21" t="s">
        <v>49</v>
      </c>
      <c r="BH5" s="11" t="s">
        <v>50</v>
      </c>
      <c r="BI5" s="15">
        <v>0.2</v>
      </c>
      <c r="BJ5" s="16">
        <v>0</v>
      </c>
      <c r="BL5" s="15" t="s">
        <v>95</v>
      </c>
      <c r="BM5" s="1">
        <f t="shared" si="3"/>
        <v>5</v>
      </c>
      <c r="BN5" s="25">
        <f>BI5*BM5</f>
        <v>1</v>
      </c>
      <c r="BQ5" s="1"/>
    </row>
    <row r="6" spans="1:71" x14ac:dyDescent="0.3">
      <c r="B6" s="15">
        <f>COUNTA(B3:B3)</f>
        <v>1</v>
      </c>
      <c r="C6" s="28">
        <f>SUMIF(B3:B3,"=Permanente",C3:C3)/B6</f>
        <v>0</v>
      </c>
      <c r="D6" s="5">
        <f>SUMIF(B3:B3,"=Permanente",D3:D3)/B10</f>
        <v>0</v>
      </c>
      <c r="E6" s="1">
        <f>SUMIF(B3:B3,"=Permanente",E3:E3)/B10</f>
        <v>0</v>
      </c>
      <c r="F6" s="50">
        <f>SUMIF(B3,"=Permanente",F3:F3)/B10</f>
        <v>0</v>
      </c>
      <c r="M6" s="16">
        <f>SUMIF(B3:B3,"=Permanente",M3:M3)/B10</f>
        <v>0</v>
      </c>
      <c r="N6" s="60">
        <f>N3</f>
        <v>0</v>
      </c>
      <c r="O6" s="1">
        <f>SUMIF(B3:B3,"=Permanente",O3:O3)/B6</f>
        <v>0</v>
      </c>
      <c r="P6" s="1">
        <f>IF(O3=0,(SUMIF(B3:B3,"=Permanente",P3:P3)+SUMIF(B3:B3,"=Colaborador",P3:P3))/0.5,(SUMIF(B3:B3,"=Permanente",P3:P3)+SUMIF(B3:B3,"=Colaborador",P3:P3))/O16)</f>
        <v>0</v>
      </c>
      <c r="AH6" s="15" t="e">
        <f>IF(AH3&gt;0,MEDIAN(AH3:AH3),100)</f>
        <v>#NUM!</v>
      </c>
      <c r="AI6" s="1">
        <f>SUMIF(B3:B3,"=Permanente",AI3:AI3)/B6</f>
        <v>0</v>
      </c>
      <c r="AQ6" s="16">
        <f>SUMIF(B3:B3,"=Permanente",AQ3:AQ3)/B10</f>
        <v>0</v>
      </c>
      <c r="AR6" s="1">
        <f>SUMIF(B3:B3,"=Permanente",AR3:AR3)/B6</f>
        <v>0</v>
      </c>
      <c r="BG6" s="21"/>
      <c r="BJ6" s="16"/>
      <c r="BM6" s="1"/>
      <c r="BN6" s="25"/>
      <c r="BQ6" s="1"/>
    </row>
    <row r="7" spans="1:71" x14ac:dyDescent="0.3">
      <c r="A7" s="38" t="s">
        <v>69</v>
      </c>
      <c r="B7" s="17" t="s">
        <v>44</v>
      </c>
      <c r="C7" s="17" t="str">
        <f>IF(C6&lt;0.1,"I",IF(AND(C6&gt;=0.1,C6&lt;0.2),"F",IF(AND(C6&gt;=0.2,C6&lt;0.3),"R",IF(AND(C6&gt;=0.3,C6&lt;0.4),"B","MB"))))</f>
        <v>I</v>
      </c>
      <c r="D7" s="17" t="str">
        <f>IF(D6&lt;3,"I",IF(AND(D6&gt;=3,D6&lt;4),"F",IF(AND(D6&gt;=4,D6&lt;5.5),"R",IF(AND(D6&gt;=5.5,D6&lt;7),"B","MB"))))</f>
        <v>I</v>
      </c>
      <c r="E7" s="17" t="str">
        <f>IF(E6&lt;0.4,"I",IF(OR(AND(E6&gt;=0.4,E6&lt;0.6),AND(E6&gt;4,E6&lt;=4.5)),"F",IF(OR(AND(E6&gt;=0.6,E6&lt;0.8),AND(E6&gt;3.5,E6&lt;=4)),"R",IF(OR(AND(E6&gt;=0.8,E6&lt;1),AND(E6&gt;3,E6&lt;=3.5)),"B",IF(AND(E6&gt;=1,E6&lt;=3),"MB","I")))))</f>
        <v>I</v>
      </c>
      <c r="F7" s="17" t="str">
        <f>IF(F6&lt;1,"I",IF(AND(F6&gt;=1,F6&lt;2),"F",IF(AND(F6&gt;=2,F6&lt;3),"R",IF(AND(F6&gt;=3,F6&lt;4),"B","MB"))))</f>
        <v>I</v>
      </c>
      <c r="G7" s="17"/>
      <c r="H7" s="17"/>
      <c r="I7" s="17"/>
      <c r="J7" s="17"/>
      <c r="K7" s="17"/>
      <c r="L7" s="17"/>
      <c r="M7" s="17" t="str">
        <f>IF(M6&lt;0.2,"I",IF(AND(M6&gt;=0.2,M6&lt;0.3),"F",IF(AND(M6&gt;=0.3,M6&lt;0.45),"R",IF(AND(M6&gt;=0.45,M6&lt;0.6),"B","MB"))))</f>
        <v>I</v>
      </c>
      <c r="N7" s="17" t="str">
        <f>IF(N6=1,"MB","I")</f>
        <v>I</v>
      </c>
      <c r="O7" s="17" t="str">
        <f>IF(O6&lt;0.4,"I",IF(OR(AND(O6&gt;=0.4,O6&lt;0.7),AND(O6&gt;8,O6&lt;=10)),"F",IF(OR(AND(O6&gt;=0.7,O6&lt;1),AND(O6&gt;6,O6&lt;=8)),"R",IF(OR(AND(O6&gt;=1,O6&lt;1.5),AND(O6&gt;5,O6&lt;=6)),"B",IF(AND(O6&gt;=1.5,O6&lt;=5),"MB","I")))))</f>
        <v>I</v>
      </c>
      <c r="P7" s="17" t="s">
        <v>80</v>
      </c>
      <c r="Q7" s="15" t="s">
        <v>83</v>
      </c>
      <c r="AH7" s="17" t="e">
        <f>IF(AH6&gt;36,"I",IF(AND(AH6&gt;34,AH6&lt;=36),"F",IF(AND(AH6&gt;32,AH6&lt;=34),"R",IF(AND(AH6&gt;30,AH6&lt;=32),"B","MB"))))</f>
        <v>#NUM!</v>
      </c>
      <c r="AI7" s="17" t="s">
        <v>74</v>
      </c>
      <c r="AQ7" s="17" t="str">
        <f>IF(AQ6&lt;0.35,"I",IF(AND(AQ6&gt;=0.35,AQ6&lt;0.55),"F",IF(AND(AQ6&gt;=0.55,AQ6&lt;0.7),"R",IF(AND(AQ6&gt;=0.7,AQ6&lt;0.85),"B","MB"))))</f>
        <v>I</v>
      </c>
      <c r="AR7" s="17" t="s">
        <v>84</v>
      </c>
      <c r="BG7" s="20" t="s">
        <v>73</v>
      </c>
      <c r="BH7" s="17"/>
      <c r="BI7" s="18">
        <v>0.2</v>
      </c>
      <c r="BJ7" s="18"/>
      <c r="BK7" s="17"/>
      <c r="BL7" s="17"/>
      <c r="BM7" s="1"/>
      <c r="BN7" s="24">
        <f>SUM(BN8:BN13)</f>
        <v>0</v>
      </c>
      <c r="BO7" s="17" t="str">
        <f>IF(BN7&lt;2,"I",IF(AND(BN7&gt;=2,BN7&lt;4),"F",IF(AND(BN7&gt;=4,BN7&lt;6),"R",IF(AND(BN7&gt;=6,BN7&lt;8),"B","MB"))))</f>
        <v>I</v>
      </c>
      <c r="BQ7" s="1"/>
    </row>
    <row r="8" spans="1:71" x14ac:dyDescent="0.3">
      <c r="A8" s="38" t="s">
        <v>1</v>
      </c>
      <c r="B8" s="15">
        <f>COUNTIF(B3:B3,"=Colaborador")</f>
        <v>0</v>
      </c>
      <c r="C8" s="32">
        <f>SUMIF(B17:B21,C7,H17:H21)</f>
        <v>0</v>
      </c>
      <c r="D8" s="32">
        <f>SUMIF(B22:B26,D7,H22:H26)</f>
        <v>0</v>
      </c>
      <c r="E8" s="1">
        <f>IF(E6&gt;D31,SUMIF(B32:B36,E7,H32:H36),SUMIF(B27:B31,E7,H27:H31))</f>
        <v>0</v>
      </c>
      <c r="F8" s="15">
        <f>SUMIF(B37:B41,F7,H37:H41)</f>
        <v>0</v>
      </c>
      <c r="M8" s="15">
        <f>SUMIF(B42:B46,M7,H42:H46)</f>
        <v>0</v>
      </c>
      <c r="N8" s="61">
        <f>N6</f>
        <v>0</v>
      </c>
      <c r="O8" s="1">
        <f>IF(O6&gt;D51,SUMIF(B52:B56,O7,H52:H56),SUMIF(B47:B51,O7,H47:H51))</f>
        <v>0</v>
      </c>
      <c r="P8" s="15">
        <v>1</v>
      </c>
      <c r="AH8" s="32">
        <f>SUMIF(B67:B71,AH7,H67:H71)</f>
        <v>0</v>
      </c>
      <c r="AI8" s="37">
        <f>AI6/3</f>
        <v>0</v>
      </c>
      <c r="AQ8" s="32">
        <f>SUMIF(B77:B81,AQ7,H77:H81)</f>
        <v>0</v>
      </c>
      <c r="AR8" s="4">
        <f>AR6/3</f>
        <v>0</v>
      </c>
      <c r="AS8" s="15" t="s">
        <v>82</v>
      </c>
      <c r="BG8" s="21" t="s">
        <v>62</v>
      </c>
      <c r="BH8" s="15" t="s">
        <v>3</v>
      </c>
      <c r="BI8" s="15">
        <v>0.3</v>
      </c>
      <c r="BJ8" s="16">
        <f>BI8*$BI$7</f>
        <v>0.06</v>
      </c>
      <c r="BK8" s="31">
        <f>C6</f>
        <v>0</v>
      </c>
      <c r="BL8" s="15" t="str">
        <f>C7</f>
        <v>I</v>
      </c>
      <c r="BM8" s="1">
        <f>C8</f>
        <v>0</v>
      </c>
      <c r="BN8" s="25">
        <f>(0.67*BM8+0.33*BM9)*BI8</f>
        <v>0</v>
      </c>
      <c r="BO8" s="1"/>
      <c r="BQ8" s="1"/>
    </row>
    <row r="9" spans="1:71" x14ac:dyDescent="0.3">
      <c r="A9" s="38" t="s">
        <v>70</v>
      </c>
      <c r="B9" s="17" t="s">
        <v>43</v>
      </c>
      <c r="P9" s="17" t="s">
        <v>47</v>
      </c>
      <c r="AI9" s="17" t="str">
        <f>IF(AI8&lt;0.3,"I",IF(AND(AI8&gt;=0.3,AI8&lt;0.45),"F",IF(AND(AI8&gt;=0.45,AI8&lt;0.65),"R",IF(AND(AI8&gt;=0.65,AI8&lt;0.95),"B","MB"))))</f>
        <v>I</v>
      </c>
      <c r="AR9" s="17" t="s">
        <v>85</v>
      </c>
      <c r="BG9" s="21" t="s">
        <v>86</v>
      </c>
      <c r="BH9" s="15" t="s">
        <v>76</v>
      </c>
      <c r="BJ9" s="16"/>
      <c r="BK9" s="69">
        <f>D6</f>
        <v>0</v>
      </c>
      <c r="BL9" s="15" t="str">
        <f>D7</f>
        <v>I</v>
      </c>
      <c r="BM9" s="1">
        <f>D8</f>
        <v>0</v>
      </c>
      <c r="BN9" s="25"/>
      <c r="BO9" s="1"/>
      <c r="BQ9" s="1"/>
    </row>
    <row r="10" spans="1:71" x14ac:dyDescent="0.3">
      <c r="B10" s="15">
        <f>COUNTIF(B3:B3,"=Permanente")</f>
        <v>1</v>
      </c>
      <c r="F10" s="25"/>
      <c r="O10" s="17" t="s">
        <v>9</v>
      </c>
      <c r="P10" s="15">
        <v>0</v>
      </c>
      <c r="Q10" s="4"/>
      <c r="AI10" s="32">
        <f>SUMIF(B72:B76,AI9,H72:H76)</f>
        <v>0</v>
      </c>
      <c r="AR10" s="15">
        <v>1</v>
      </c>
      <c r="AS10" s="15" t="s">
        <v>83</v>
      </c>
      <c r="BG10" s="21" t="s">
        <v>64</v>
      </c>
      <c r="BH10" s="15" t="s">
        <v>4</v>
      </c>
      <c r="BI10" s="15">
        <v>0.3</v>
      </c>
      <c r="BJ10" s="16">
        <f>BI10*$BI$7</f>
        <v>0.06</v>
      </c>
      <c r="BK10" s="70">
        <f>E6</f>
        <v>0</v>
      </c>
      <c r="BL10" s="15" t="str">
        <f>E7</f>
        <v>I</v>
      </c>
      <c r="BM10" s="1">
        <f>E8</f>
        <v>0</v>
      </c>
      <c r="BN10" s="25">
        <f>(0.67*BM10+0.33*BM11)*BI10</f>
        <v>0</v>
      </c>
      <c r="BO10" s="1"/>
    </row>
    <row r="11" spans="1:71" x14ac:dyDescent="0.3">
      <c r="B11" s="17" t="s">
        <v>104</v>
      </c>
      <c r="O11" s="16">
        <f>COUNTIFS(B3:B3,"=Permanente",O3:O3,"=0")/B10</f>
        <v>1</v>
      </c>
      <c r="P11" s="17" t="s">
        <v>81</v>
      </c>
      <c r="AR11" s="17" t="s">
        <v>47</v>
      </c>
      <c r="BG11" s="21" t="s">
        <v>87</v>
      </c>
      <c r="BH11" s="15" t="s">
        <v>78</v>
      </c>
      <c r="BJ11" s="16"/>
      <c r="BK11" s="58">
        <f>F6</f>
        <v>0</v>
      </c>
      <c r="BL11" s="15" t="str">
        <f>F7</f>
        <v>I</v>
      </c>
      <c r="BM11" s="1">
        <f>F8</f>
        <v>0</v>
      </c>
      <c r="BN11" s="7"/>
      <c r="BO11" s="1"/>
      <c r="BQ11" s="1"/>
    </row>
    <row r="12" spans="1:71" x14ac:dyDescent="0.3">
      <c r="B12" s="16">
        <f>B10/B6</f>
        <v>1</v>
      </c>
      <c r="O12" s="17" t="str">
        <f>IF(O11&lt;0.15,"MB",IF(AND(O11&gt;0.35,O11&lt;=0.45),"F",IF(AND(O11&gt;0.25,O11&lt;=0.35),"R",IF(AND(O11&gt;0.15,O11&lt;=0.25),"B","I"))))</f>
        <v>I</v>
      </c>
      <c r="P12" s="4">
        <f>P6+P10*P8/LARGE(P8,1)*MEDIAN(P3)</f>
        <v>0</v>
      </c>
      <c r="AR12" s="15">
        <v>0</v>
      </c>
      <c r="BG12" s="21" t="s">
        <v>63</v>
      </c>
      <c r="BH12" s="15" t="s">
        <v>6</v>
      </c>
      <c r="BI12" s="15">
        <v>0.3</v>
      </c>
      <c r="BJ12" s="16">
        <f>BI12*$BI$7</f>
        <v>0.06</v>
      </c>
      <c r="BK12" s="31">
        <f>M6</f>
        <v>0</v>
      </c>
      <c r="BL12" s="15" t="str">
        <f>M7</f>
        <v>I</v>
      </c>
      <c r="BM12" s="1">
        <f>M8</f>
        <v>0</v>
      </c>
      <c r="BN12" s="25">
        <f>BM12*BI12</f>
        <v>0</v>
      </c>
      <c r="BO12" s="1"/>
      <c r="BQ12" s="1"/>
    </row>
    <row r="13" spans="1:71" x14ac:dyDescent="0.3">
      <c r="B13" s="6" t="str">
        <f>IF(B12&gt;0.7,"OK","REDUZIR DC")</f>
        <v>OK</v>
      </c>
      <c r="O13" s="15">
        <f>SUMIF(B57:B61,O12,H57:H61)</f>
        <v>0</v>
      </c>
      <c r="P13" s="17" t="str">
        <f>IF(P12&lt;0.2,"I",IF(AND(P12&gt;=0.2,P12&lt;0.3),"F",IF(AND(P12&gt;=0.3,P12&lt;0.4),"R",IF(AND(P12&gt;=0.4,P12&lt;0.5),"B","MB"))))</f>
        <v>I</v>
      </c>
      <c r="AR13" s="17" t="s">
        <v>81</v>
      </c>
      <c r="BG13" s="21" t="s">
        <v>57</v>
      </c>
      <c r="BH13" s="68" t="s">
        <v>153</v>
      </c>
      <c r="BI13" s="15">
        <v>0.1</v>
      </c>
      <c r="BJ13" s="16">
        <f>BI13*$BI$7</f>
        <v>2.0000000000000004E-2</v>
      </c>
      <c r="BK13" s="62">
        <f>N6</f>
        <v>0</v>
      </c>
      <c r="BL13" s="15" t="str">
        <f>N7</f>
        <v>I</v>
      </c>
      <c r="BM13" s="1">
        <f>N8</f>
        <v>0</v>
      </c>
      <c r="BN13" s="25">
        <f>BM13*BI13</f>
        <v>0</v>
      </c>
      <c r="BO13" s="1"/>
      <c r="BQ13" s="1"/>
    </row>
    <row r="14" spans="1:71" s="17" customFormat="1" x14ac:dyDescent="0.3">
      <c r="A14" s="38"/>
      <c r="O14" s="56"/>
      <c r="P14" s="32">
        <f>SUMIF(B62:B66,P13,H62:H66)</f>
        <v>0</v>
      </c>
      <c r="AR14" s="4">
        <f>AR8+AR12*AR10/LARGE(AR10,1)*MEDIAN(AR3)</f>
        <v>0</v>
      </c>
      <c r="AS14" s="15"/>
      <c r="BG14" s="21"/>
      <c r="BH14" s="15"/>
      <c r="BI14" s="15"/>
      <c r="BJ14" s="16"/>
      <c r="BK14" s="12"/>
      <c r="BL14" s="15"/>
      <c r="BM14" s="1"/>
      <c r="BN14" s="25"/>
      <c r="BO14" s="1"/>
      <c r="BP14" s="15"/>
      <c r="BQ14" s="1"/>
    </row>
    <row r="15" spans="1:71" s="17" customFormat="1" x14ac:dyDescent="0.3">
      <c r="A15" s="38"/>
      <c r="O15" s="17" t="s">
        <v>10</v>
      </c>
      <c r="P15" s="56"/>
      <c r="AR15" s="17" t="str">
        <f>IF(AR14&lt;0.1,"I",IF(AND(AR14&gt;=0.1,AR14&lt;0.15),"F",IF(AND(AR14&gt;=0.15,AR14&lt;0.2),"R",IF(AND(AR14&gt;=0.2,AR14&lt;0.25),"B","MB"))))</f>
        <v>I</v>
      </c>
      <c r="AS15" s="15"/>
      <c r="BG15" s="20" t="s">
        <v>71</v>
      </c>
      <c r="BI15" s="18">
        <v>0.35</v>
      </c>
      <c r="BJ15" s="18"/>
      <c r="BK15" s="14"/>
      <c r="BM15" s="1"/>
      <c r="BN15" s="24">
        <f>SUM(BN16:BN19)</f>
        <v>0</v>
      </c>
      <c r="BO15" s="17" t="str">
        <f>IF(BN15&lt;2,"I",IF(AND(BN15&gt;=2,BN15&lt;4),"F",IF(AND(BN15&gt;=4,BN15&lt;6),"R",IF(AND(BN15&gt;=6,BN15&lt;8),"B","MB"))))</f>
        <v>I</v>
      </c>
      <c r="BP15" s="15"/>
      <c r="BQ15" s="1"/>
    </row>
    <row r="16" spans="1:71" x14ac:dyDescent="0.3">
      <c r="A16" t="s">
        <v>133</v>
      </c>
      <c r="B16" t="s">
        <v>140</v>
      </c>
      <c r="C16" t="s">
        <v>134</v>
      </c>
      <c r="D16" t="s">
        <v>135</v>
      </c>
      <c r="E16" t="s">
        <v>136</v>
      </c>
      <c r="F16" t="s">
        <v>137</v>
      </c>
      <c r="G16" t="s">
        <v>138</v>
      </c>
      <c r="H16" t="s">
        <v>139</v>
      </c>
      <c r="O16" s="1">
        <f>SUMIF(B3:B3,"=Permanente",O3:O3)+SUMIF(B3:B3,"=Colaborador",O3:O3)</f>
        <v>0</v>
      </c>
      <c r="AR16" s="32">
        <f>SUMIF(B82:B86,AR15,H82:H86)</f>
        <v>0</v>
      </c>
      <c r="AS16" s="17"/>
      <c r="BG16" s="21" t="s">
        <v>58</v>
      </c>
      <c r="BH16" s="15" t="s">
        <v>8</v>
      </c>
      <c r="BI16" s="15">
        <v>0.3</v>
      </c>
      <c r="BJ16" s="16">
        <f>BI16*$BI$15</f>
        <v>0.105</v>
      </c>
      <c r="BK16" s="13">
        <f>O6</f>
        <v>0</v>
      </c>
      <c r="BL16" s="15" t="str">
        <f>O7</f>
        <v>I</v>
      </c>
      <c r="BM16" s="1">
        <f>O8</f>
        <v>0</v>
      </c>
      <c r="BN16" s="8">
        <f>BM16*BI16</f>
        <v>0</v>
      </c>
      <c r="BO16" s="1"/>
      <c r="BQ16" s="1"/>
    </row>
    <row r="17" spans="1:71" x14ac:dyDescent="0.3">
      <c r="A17" t="s">
        <v>3</v>
      </c>
      <c r="B17" t="s">
        <v>141</v>
      </c>
      <c r="C17">
        <v>0</v>
      </c>
      <c r="D17">
        <v>0.1</v>
      </c>
      <c r="E17">
        <v>0</v>
      </c>
      <c r="F17">
        <v>2</v>
      </c>
      <c r="G17" s="53">
        <f>$C$6</f>
        <v>0</v>
      </c>
      <c r="H17" s="46">
        <f>(F17-E17)/(D17-C17)*(G17-C17)+E17</f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BG17" s="21" t="s">
        <v>65</v>
      </c>
      <c r="BH17" s="15" t="s">
        <v>9</v>
      </c>
      <c r="BI17" s="15">
        <v>0.1</v>
      </c>
      <c r="BJ17" s="16">
        <f t="shared" ref="BJ17:BJ19" si="4">BI17*$BI$15</f>
        <v>3.4999999999999996E-2</v>
      </c>
      <c r="BK17" s="31">
        <f>O11</f>
        <v>1</v>
      </c>
      <c r="BL17" s="10" t="str">
        <f>O12</f>
        <v>I</v>
      </c>
      <c r="BM17" s="1">
        <f>O13</f>
        <v>0</v>
      </c>
      <c r="BN17" s="8">
        <f>BM17*BI17</f>
        <v>0</v>
      </c>
      <c r="BO17" s="1"/>
      <c r="BQ17" s="1"/>
    </row>
    <row r="18" spans="1:71" x14ac:dyDescent="0.3">
      <c r="A18" t="s">
        <v>3</v>
      </c>
      <c r="B18" t="s">
        <v>96</v>
      </c>
      <c r="C18">
        <v>0.1</v>
      </c>
      <c r="D18">
        <v>0.2</v>
      </c>
      <c r="E18">
        <v>2</v>
      </c>
      <c r="F18">
        <v>4</v>
      </c>
      <c r="G18" s="53">
        <f t="shared" ref="G18:G21" si="5">$C$6</f>
        <v>0</v>
      </c>
      <c r="H18" s="46">
        <f t="shared" ref="H18:H21" si="6">(F18-E18)/(D18-C18)*(G18-C18)+E18</f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BG18" s="21" t="s">
        <v>59</v>
      </c>
      <c r="BH18" s="15" t="s">
        <v>93</v>
      </c>
      <c r="BI18" s="15">
        <v>0.5</v>
      </c>
      <c r="BJ18" s="16">
        <f t="shared" si="4"/>
        <v>0.17499999999999999</v>
      </c>
      <c r="BK18" s="13">
        <f>P12</f>
        <v>0</v>
      </c>
      <c r="BL18" s="15" t="str">
        <f>P13</f>
        <v>I</v>
      </c>
      <c r="BM18" s="1">
        <f>P14</f>
        <v>0</v>
      </c>
      <c r="BN18" s="8">
        <f>BM18*BI18</f>
        <v>0</v>
      </c>
      <c r="BO18" s="1"/>
      <c r="BQ18" s="1"/>
    </row>
    <row r="19" spans="1:71" x14ac:dyDescent="0.3">
      <c r="A19" t="s">
        <v>3</v>
      </c>
      <c r="B19" t="s">
        <v>95</v>
      </c>
      <c r="C19">
        <v>0.2</v>
      </c>
      <c r="D19">
        <v>0.3</v>
      </c>
      <c r="E19">
        <v>4</v>
      </c>
      <c r="F19">
        <v>6</v>
      </c>
      <c r="G19" s="53">
        <f t="shared" si="5"/>
        <v>0</v>
      </c>
      <c r="H19" s="46">
        <f t="shared" si="6"/>
        <v>0</v>
      </c>
      <c r="BG19" s="21" t="s">
        <v>51</v>
      </c>
      <c r="BH19" s="15" t="s">
        <v>35</v>
      </c>
      <c r="BI19" s="15">
        <v>0.1</v>
      </c>
      <c r="BJ19" s="16">
        <f t="shared" si="4"/>
        <v>3.4999999999999996E-2</v>
      </c>
      <c r="BK19" s="12" t="e">
        <f>AH6</f>
        <v>#NUM!</v>
      </c>
      <c r="BL19" s="15" t="e">
        <f>AH7</f>
        <v>#NUM!</v>
      </c>
      <c r="BM19" s="1">
        <f>AH8</f>
        <v>0</v>
      </c>
      <c r="BN19" s="8">
        <f>BM19*BI19</f>
        <v>0</v>
      </c>
      <c r="BO19" s="1"/>
    </row>
    <row r="20" spans="1:71" s="17" customFormat="1" x14ac:dyDescent="0.3">
      <c r="A20" t="s">
        <v>3</v>
      </c>
      <c r="B20" t="s">
        <v>98</v>
      </c>
      <c r="C20">
        <v>0.3</v>
      </c>
      <c r="D20">
        <v>0.4</v>
      </c>
      <c r="E20">
        <v>6</v>
      </c>
      <c r="F20">
        <v>8</v>
      </c>
      <c r="G20" s="53">
        <f t="shared" si="5"/>
        <v>0</v>
      </c>
      <c r="H20" s="46">
        <f t="shared" si="6"/>
        <v>0</v>
      </c>
      <c r="BG20" s="21"/>
      <c r="BH20" s="15"/>
      <c r="BI20" s="15"/>
      <c r="BJ20" s="16"/>
      <c r="BK20" s="12"/>
      <c r="BL20" s="15"/>
      <c r="BM20" s="1"/>
      <c r="BN20" s="25"/>
      <c r="BO20" s="1"/>
      <c r="BP20" s="15"/>
      <c r="BQ20" s="15"/>
    </row>
    <row r="21" spans="1:71" s="17" customFormat="1" x14ac:dyDescent="0.3">
      <c r="A21" t="s">
        <v>3</v>
      </c>
      <c r="B21" t="s">
        <v>92</v>
      </c>
      <c r="C21">
        <v>0.4</v>
      </c>
      <c r="D21">
        <v>1</v>
      </c>
      <c r="E21">
        <v>8</v>
      </c>
      <c r="F21">
        <v>10</v>
      </c>
      <c r="G21" s="53">
        <f t="shared" si="5"/>
        <v>0</v>
      </c>
      <c r="H21" s="46">
        <f t="shared" si="6"/>
        <v>6.6666666666666661</v>
      </c>
      <c r="BG21" s="20" t="s">
        <v>72</v>
      </c>
      <c r="BI21" s="18">
        <v>0.35</v>
      </c>
      <c r="BJ21" s="18"/>
      <c r="BK21" s="14"/>
      <c r="BM21" s="1"/>
      <c r="BN21" s="24">
        <f>SUM(BN22:BN25)</f>
        <v>0</v>
      </c>
      <c r="BO21" s="17" t="str">
        <f>IF(BN21&lt;2,"I",IF(AND(BN21&gt;=2,BN21&lt;4),"F",IF(AND(BN21&gt;=4,BN21&lt;6),"R",IF(AND(BN21&gt;=6,BN21&lt;8),"B","MB"))))</f>
        <v>I</v>
      </c>
      <c r="BP21" s="15"/>
      <c r="BQ21" s="15"/>
      <c r="BR21" s="15"/>
      <c r="BS21" s="15"/>
    </row>
    <row r="22" spans="1:71" x14ac:dyDescent="0.3">
      <c r="A22" t="s">
        <v>142</v>
      </c>
      <c r="B22" t="s">
        <v>141</v>
      </c>
      <c r="C22">
        <v>0</v>
      </c>
      <c r="D22">
        <v>3</v>
      </c>
      <c r="E22">
        <v>0</v>
      </c>
      <c r="F22">
        <v>2</v>
      </c>
      <c r="G22" s="54">
        <f>$D$6</f>
        <v>0</v>
      </c>
      <c r="H22" s="46">
        <f>(F22-E22)/(D22-C22)*(G22-C22)+E22</f>
        <v>0</v>
      </c>
      <c r="Q22" s="26"/>
      <c r="BG22" s="21" t="s">
        <v>60</v>
      </c>
      <c r="BH22" s="15" t="s">
        <v>36</v>
      </c>
      <c r="BI22" s="15">
        <v>0.5</v>
      </c>
      <c r="BJ22" s="16">
        <f>BI22*$BI$21</f>
        <v>0.17499999999999999</v>
      </c>
      <c r="BK22" s="13">
        <f>AI8</f>
        <v>0</v>
      </c>
      <c r="BL22" s="15" t="str">
        <f>AI9</f>
        <v>I</v>
      </c>
      <c r="BM22" s="1">
        <f>AI10</f>
        <v>0</v>
      </c>
      <c r="BN22" s="25">
        <f>BM22*BI22</f>
        <v>0</v>
      </c>
      <c r="BO22" s="1"/>
    </row>
    <row r="23" spans="1:71" x14ac:dyDescent="0.3">
      <c r="A23" t="s">
        <v>142</v>
      </c>
      <c r="B23" t="s">
        <v>96</v>
      </c>
      <c r="C23">
        <v>3</v>
      </c>
      <c r="D23">
        <v>4</v>
      </c>
      <c r="E23">
        <v>2</v>
      </c>
      <c r="F23">
        <v>4</v>
      </c>
      <c r="G23" s="54">
        <f t="shared" ref="G23:G26" si="7">$D$6</f>
        <v>0</v>
      </c>
      <c r="H23" s="46">
        <f t="shared" ref="H23:H25" si="8">(F23-E23)/(D23-C23)*(G23-C23)+E23</f>
        <v>-4</v>
      </c>
      <c r="R23" s="26"/>
      <c r="BG23" s="21" t="s">
        <v>66</v>
      </c>
      <c r="BH23" s="15" t="s">
        <v>41</v>
      </c>
      <c r="BI23" s="15">
        <v>0.3</v>
      </c>
      <c r="BJ23" s="16">
        <f t="shared" ref="BJ23:BJ25" si="9">BI23*$BI$21</f>
        <v>0.105</v>
      </c>
      <c r="BK23" s="31">
        <f>AQ6</f>
        <v>0</v>
      </c>
      <c r="BL23" s="15" t="str">
        <f>AQ7</f>
        <v>I</v>
      </c>
      <c r="BM23" s="1">
        <f>AQ8</f>
        <v>0</v>
      </c>
      <c r="BN23" s="25">
        <f>BM23*BI23</f>
        <v>0</v>
      </c>
      <c r="BO23" s="1"/>
    </row>
    <row r="24" spans="1:71" x14ac:dyDescent="0.3">
      <c r="A24" t="s">
        <v>142</v>
      </c>
      <c r="B24" t="s">
        <v>95</v>
      </c>
      <c r="C24">
        <v>4</v>
      </c>
      <c r="D24">
        <v>5.5</v>
      </c>
      <c r="E24">
        <v>4</v>
      </c>
      <c r="F24">
        <v>6</v>
      </c>
      <c r="G24" s="54">
        <f t="shared" si="7"/>
        <v>0</v>
      </c>
      <c r="H24" s="46">
        <f t="shared" si="8"/>
        <v>-1.333333333333333</v>
      </c>
      <c r="Q24" s="26"/>
      <c r="BG24" s="21" t="s">
        <v>61</v>
      </c>
      <c r="BH24" s="15" t="s">
        <v>94</v>
      </c>
      <c r="BI24" s="15">
        <v>0.2</v>
      </c>
      <c r="BJ24" s="16">
        <f t="shared" si="9"/>
        <v>6.9999999999999993E-2</v>
      </c>
      <c r="BK24" s="13">
        <f>AR14</f>
        <v>0</v>
      </c>
      <c r="BL24" s="15" t="str">
        <f>AR15</f>
        <v>I</v>
      </c>
      <c r="BM24" s="1">
        <f>AR16</f>
        <v>0</v>
      </c>
      <c r="BN24" s="25">
        <f>BM24*BI24</f>
        <v>0</v>
      </c>
      <c r="BO24" s="1"/>
    </row>
    <row r="25" spans="1:71" x14ac:dyDescent="0.3">
      <c r="A25" t="s">
        <v>142</v>
      </c>
      <c r="B25" t="s">
        <v>98</v>
      </c>
      <c r="C25">
        <v>5.5</v>
      </c>
      <c r="D25">
        <v>7</v>
      </c>
      <c r="E25">
        <v>6</v>
      </c>
      <c r="F25">
        <v>8</v>
      </c>
      <c r="G25" s="54">
        <f t="shared" si="7"/>
        <v>0</v>
      </c>
      <c r="H25" s="46">
        <f t="shared" si="8"/>
        <v>-1.333333333333333</v>
      </c>
      <c r="Q25" s="26"/>
      <c r="BG25" s="21" t="s">
        <v>52</v>
      </c>
      <c r="BH25" s="15" t="s">
        <v>97</v>
      </c>
      <c r="BI25" s="15">
        <v>0</v>
      </c>
      <c r="BJ25" s="16">
        <f t="shared" si="9"/>
        <v>0</v>
      </c>
      <c r="BM25" s="1"/>
      <c r="BN25" s="25"/>
    </row>
    <row r="26" spans="1:71" x14ac:dyDescent="0.3">
      <c r="A26" t="s">
        <v>142</v>
      </c>
      <c r="B26" t="s">
        <v>92</v>
      </c>
      <c r="C26">
        <v>7</v>
      </c>
      <c r="D26" s="48">
        <v>10</v>
      </c>
      <c r="E26">
        <v>8</v>
      </c>
      <c r="F26">
        <v>10</v>
      </c>
      <c r="G26" s="54">
        <f t="shared" si="7"/>
        <v>0</v>
      </c>
      <c r="H26" s="46">
        <f>IF(G26&lt;=D26,(F26-E26)/(D26-C26)*(G26-C26)+E26,10)</f>
        <v>3.3333333333333339</v>
      </c>
      <c r="BG26" s="21"/>
      <c r="BJ26" s="16"/>
      <c r="BM26" s="1"/>
      <c r="BN26" s="25"/>
    </row>
    <row r="27" spans="1:71" x14ac:dyDescent="0.3">
      <c r="A27" t="s">
        <v>4</v>
      </c>
      <c r="B27" t="s">
        <v>141</v>
      </c>
      <c r="C27">
        <v>0</v>
      </c>
      <c r="D27">
        <v>0.4</v>
      </c>
      <c r="E27">
        <v>0</v>
      </c>
      <c r="F27">
        <v>2</v>
      </c>
      <c r="G27" s="52">
        <f>$E$6</f>
        <v>0</v>
      </c>
      <c r="H27" s="46">
        <f>(F27-E27)/(D27-C27)*(G27-C27)+E27</f>
        <v>0</v>
      </c>
      <c r="Q27" s="21"/>
      <c r="BG27" s="20" t="s">
        <v>53</v>
      </c>
      <c r="BH27" s="17"/>
      <c r="BI27" s="18">
        <v>0.1</v>
      </c>
      <c r="BJ27" s="18"/>
      <c r="BK27" s="17"/>
      <c r="BL27" s="17"/>
      <c r="BM27" s="1"/>
      <c r="BN27" s="24">
        <f>SUM(BN28:BN30)</f>
        <v>6.6000000000000005</v>
      </c>
      <c r="BO27" s="17" t="str">
        <f>IF(BN27&lt;2,"I",IF(AND(BN27&gt;=2,BN27&lt;4),"F",IF(AND(BN27&gt;=4,BN27&lt;6),"R",IF(AND(BN27&gt;=6,BN27&lt;8),"B","MB"))))</f>
        <v>B</v>
      </c>
    </row>
    <row r="28" spans="1:71" x14ac:dyDescent="0.3">
      <c r="A28" t="s">
        <v>4</v>
      </c>
      <c r="B28" t="s">
        <v>96</v>
      </c>
      <c r="C28">
        <v>0.4</v>
      </c>
      <c r="D28">
        <v>0.6</v>
      </c>
      <c r="E28">
        <v>2</v>
      </c>
      <c r="F28">
        <v>4</v>
      </c>
      <c r="G28" s="52">
        <f t="shared" ref="G28:G36" si="10">$E$6</f>
        <v>0</v>
      </c>
      <c r="H28" s="46">
        <f t="shared" ref="H28:H31" si="11">(F28-E28)/(D28-C28)*(G28-C28)+E28</f>
        <v>-2.0000000000000009</v>
      </c>
      <c r="BG28" s="21" t="s">
        <v>54</v>
      </c>
      <c r="BH28" s="15" t="s">
        <v>50</v>
      </c>
      <c r="BI28" s="15">
        <v>0.6</v>
      </c>
      <c r="BJ28" s="16">
        <f>BI28*$BI$27</f>
        <v>0.06</v>
      </c>
      <c r="BL28" s="15" t="s">
        <v>98</v>
      </c>
      <c r="BM28" s="1">
        <f>IF(BL28="I",1,IF(BL28="F",3,IF(BL28="R",5,IF(BL28="B",7,9))))</f>
        <v>7</v>
      </c>
      <c r="BN28" s="25">
        <f>BM28*BI28</f>
        <v>4.2</v>
      </c>
      <c r="BR28" s="17"/>
      <c r="BS28" s="17"/>
    </row>
    <row r="29" spans="1:71" s="17" customFormat="1" x14ac:dyDescent="0.3">
      <c r="A29" t="s">
        <v>4</v>
      </c>
      <c r="B29" t="s">
        <v>95</v>
      </c>
      <c r="C29">
        <v>0.6</v>
      </c>
      <c r="D29">
        <v>0.8</v>
      </c>
      <c r="E29">
        <v>4</v>
      </c>
      <c r="F29">
        <v>6</v>
      </c>
      <c r="G29" s="52">
        <f t="shared" si="10"/>
        <v>0</v>
      </c>
      <c r="H29" s="46">
        <f t="shared" si="11"/>
        <v>-1.9999999999999973</v>
      </c>
      <c r="BG29" s="21" t="s">
        <v>55</v>
      </c>
      <c r="BH29" s="15" t="s">
        <v>50</v>
      </c>
      <c r="BI29" s="15">
        <v>0.2</v>
      </c>
      <c r="BJ29" s="16">
        <f t="shared" ref="BJ29:BJ30" si="12">BI29*$BI$27</f>
        <v>2.0000000000000004E-2</v>
      </c>
      <c r="BK29" s="15"/>
      <c r="BL29" s="15" t="s">
        <v>98</v>
      </c>
      <c r="BM29" s="1">
        <f t="shared" ref="BM29:BM30" si="13">IF(BL29="I",1,IF(BL29="F",3,IF(BL29="R",5,IF(BL29="B",7,9))))</f>
        <v>7</v>
      </c>
      <c r="BN29" s="25">
        <f>BM29*BI29</f>
        <v>1.4000000000000001</v>
      </c>
      <c r="BO29" s="15"/>
      <c r="BP29" s="15"/>
      <c r="BQ29" s="15"/>
      <c r="BR29" s="15"/>
      <c r="BS29" s="15"/>
    </row>
    <row r="30" spans="1:71" x14ac:dyDescent="0.3">
      <c r="A30" t="s">
        <v>4</v>
      </c>
      <c r="B30" t="s">
        <v>98</v>
      </c>
      <c r="C30">
        <v>0.8</v>
      </c>
      <c r="D30">
        <v>1</v>
      </c>
      <c r="E30">
        <v>6</v>
      </c>
      <c r="F30">
        <v>8</v>
      </c>
      <c r="G30" s="52">
        <f t="shared" si="10"/>
        <v>0</v>
      </c>
      <c r="H30" s="46">
        <f t="shared" si="11"/>
        <v>-2.0000000000000018</v>
      </c>
      <c r="BG30" s="21" t="s">
        <v>56</v>
      </c>
      <c r="BH30" s="15" t="s">
        <v>50</v>
      </c>
      <c r="BI30" s="15">
        <v>0.2</v>
      </c>
      <c r="BJ30" s="16">
        <f t="shared" si="12"/>
        <v>2.0000000000000004E-2</v>
      </c>
      <c r="BL30" s="15" t="s">
        <v>95</v>
      </c>
      <c r="BM30" s="1">
        <f t="shared" si="13"/>
        <v>5</v>
      </c>
      <c r="BN30" s="25">
        <f>BM30*BI30</f>
        <v>1</v>
      </c>
      <c r="BP30" s="17"/>
      <c r="BQ30" s="17"/>
    </row>
    <row r="31" spans="1:71" x14ac:dyDescent="0.3">
      <c r="A31" t="s">
        <v>4</v>
      </c>
      <c r="B31" t="s">
        <v>92</v>
      </c>
      <c r="C31">
        <v>1</v>
      </c>
      <c r="D31">
        <v>2</v>
      </c>
      <c r="E31">
        <v>8</v>
      </c>
      <c r="F31">
        <v>10</v>
      </c>
      <c r="G31" s="52">
        <f t="shared" si="10"/>
        <v>0</v>
      </c>
      <c r="H31" s="46">
        <f t="shared" si="11"/>
        <v>6</v>
      </c>
      <c r="T31" s="27"/>
      <c r="BG31" s="20"/>
      <c r="BH31" s="17"/>
      <c r="BI31" s="17"/>
      <c r="BJ31" s="17"/>
      <c r="BK31" s="17"/>
      <c r="BL31" s="17"/>
      <c r="BM31" s="17"/>
      <c r="BN31" s="17"/>
      <c r="BO31" s="17"/>
      <c r="BP31" s="17"/>
      <c r="BQ31" s="17"/>
    </row>
    <row r="32" spans="1:71" x14ac:dyDescent="0.3">
      <c r="A32" s="63" t="s">
        <v>4</v>
      </c>
      <c r="B32" s="63" t="s">
        <v>141</v>
      </c>
      <c r="C32" s="63">
        <v>4.5</v>
      </c>
      <c r="D32" s="48">
        <v>5</v>
      </c>
      <c r="E32" s="63">
        <v>0</v>
      </c>
      <c r="F32" s="63">
        <v>2</v>
      </c>
      <c r="G32" s="64">
        <f t="shared" si="10"/>
        <v>0</v>
      </c>
      <c r="H32" s="65">
        <f>IF(G32&lt;=D32,(F32-E32)/(D32-C32)*(D32-G32)+E32,0)</f>
        <v>20</v>
      </c>
      <c r="Q32" s="21"/>
      <c r="Y32" s="16"/>
      <c r="BG32" s="20"/>
      <c r="BH32" s="17"/>
      <c r="BI32" s="17"/>
      <c r="BJ32" s="17"/>
      <c r="BK32" s="17"/>
      <c r="BL32" s="17"/>
      <c r="BM32" s="17"/>
      <c r="BN32" s="9"/>
      <c r="BO32" s="17"/>
    </row>
    <row r="33" spans="1:71" x14ac:dyDescent="0.3">
      <c r="A33" s="63" t="s">
        <v>4</v>
      </c>
      <c r="B33" s="63" t="s">
        <v>96</v>
      </c>
      <c r="C33" s="63">
        <v>4</v>
      </c>
      <c r="D33" s="63">
        <v>4.5</v>
      </c>
      <c r="E33" s="63">
        <v>2</v>
      </c>
      <c r="F33" s="63">
        <v>4</v>
      </c>
      <c r="G33" s="64">
        <f t="shared" si="10"/>
        <v>0</v>
      </c>
      <c r="H33" s="65">
        <f t="shared" ref="H33:H36" si="14">(F33-E33)/(D33-C33)*(D33-G33)+E33</f>
        <v>20</v>
      </c>
      <c r="Y33" s="16"/>
    </row>
    <row r="34" spans="1:71" x14ac:dyDescent="0.3">
      <c r="A34" s="63" t="s">
        <v>4</v>
      </c>
      <c r="B34" s="63" t="s">
        <v>95</v>
      </c>
      <c r="C34" s="63">
        <v>3.5</v>
      </c>
      <c r="D34" s="63">
        <v>4</v>
      </c>
      <c r="E34" s="63">
        <v>4</v>
      </c>
      <c r="F34" s="63">
        <v>6</v>
      </c>
      <c r="G34" s="64">
        <f t="shared" si="10"/>
        <v>0</v>
      </c>
      <c r="H34" s="65">
        <f t="shared" si="14"/>
        <v>20</v>
      </c>
      <c r="Y34" s="16"/>
      <c r="BG34" s="17"/>
      <c r="BM34" s="17"/>
      <c r="BN34" s="17"/>
      <c r="BO34" s="17"/>
      <c r="BR34" s="17"/>
      <c r="BS34" s="17"/>
    </row>
    <row r="35" spans="1:71" s="17" customFormat="1" x14ac:dyDescent="0.3">
      <c r="A35" s="63" t="s">
        <v>4</v>
      </c>
      <c r="B35" s="63" t="s">
        <v>98</v>
      </c>
      <c r="C35" s="63">
        <v>3</v>
      </c>
      <c r="D35" s="63">
        <v>3.5</v>
      </c>
      <c r="E35" s="63">
        <v>6</v>
      </c>
      <c r="F35" s="63">
        <v>8</v>
      </c>
      <c r="G35" s="64">
        <f t="shared" si="10"/>
        <v>0</v>
      </c>
      <c r="H35" s="65">
        <f t="shared" si="14"/>
        <v>20</v>
      </c>
      <c r="Y35" s="16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</row>
    <row r="36" spans="1:71" s="17" customFormat="1" x14ac:dyDescent="0.3">
      <c r="A36" s="63" t="s">
        <v>4</v>
      </c>
      <c r="B36" s="63" t="s">
        <v>92</v>
      </c>
      <c r="C36" s="63">
        <v>2</v>
      </c>
      <c r="D36" s="63">
        <v>3</v>
      </c>
      <c r="E36" s="63">
        <v>8</v>
      </c>
      <c r="F36" s="63">
        <v>10</v>
      </c>
      <c r="G36" s="64">
        <f t="shared" si="10"/>
        <v>0</v>
      </c>
      <c r="H36" s="65">
        <f t="shared" si="14"/>
        <v>14</v>
      </c>
      <c r="Y36" s="16"/>
      <c r="BG36" s="33"/>
      <c r="BH36" s="15"/>
      <c r="BI36" s="15"/>
      <c r="BJ36" s="15"/>
      <c r="BK36" s="15"/>
      <c r="BL36" s="15"/>
      <c r="BM36" s="15"/>
      <c r="BN36" s="1"/>
      <c r="BO36" s="16"/>
      <c r="BR36" s="15"/>
      <c r="BS36" s="15"/>
    </row>
    <row r="37" spans="1:71" x14ac:dyDescent="0.3">
      <c r="A37" t="s">
        <v>78</v>
      </c>
      <c r="B37" t="s">
        <v>141</v>
      </c>
      <c r="C37">
        <v>0</v>
      </c>
      <c r="D37">
        <v>1</v>
      </c>
      <c r="E37">
        <v>0</v>
      </c>
      <c r="F37">
        <v>2</v>
      </c>
      <c r="G37" s="51">
        <f>$F$6</f>
        <v>0</v>
      </c>
      <c r="H37" s="46">
        <f>(F37-E37)/(D37-C37)*(G37-C37)+E37</f>
        <v>0</v>
      </c>
      <c r="Y37" s="16"/>
    </row>
    <row r="38" spans="1:71" x14ac:dyDescent="0.3">
      <c r="A38" t="s">
        <v>78</v>
      </c>
      <c r="B38" t="s">
        <v>96</v>
      </c>
      <c r="C38">
        <v>1</v>
      </c>
      <c r="D38">
        <v>2</v>
      </c>
      <c r="E38">
        <v>2</v>
      </c>
      <c r="F38">
        <v>4</v>
      </c>
      <c r="G38" s="51">
        <f t="shared" ref="G38:G41" si="15">$F$6</f>
        <v>0</v>
      </c>
      <c r="H38" s="46">
        <f t="shared" ref="H38:H41" si="16">(F38-E38)/(D38-C38)*(G38-C38)+E38</f>
        <v>0</v>
      </c>
      <c r="Y38" s="16"/>
    </row>
    <row r="39" spans="1:71" ht="17.100000000000001" customHeight="1" x14ac:dyDescent="0.3">
      <c r="A39" t="s">
        <v>78</v>
      </c>
      <c r="B39" t="s">
        <v>95</v>
      </c>
      <c r="C39">
        <v>2</v>
      </c>
      <c r="D39">
        <v>3</v>
      </c>
      <c r="E39">
        <v>4</v>
      </c>
      <c r="F39">
        <v>6</v>
      </c>
      <c r="G39" s="51">
        <f t="shared" si="15"/>
        <v>0</v>
      </c>
      <c r="H39" s="46">
        <f t="shared" si="16"/>
        <v>0</v>
      </c>
      <c r="Q39" s="21"/>
      <c r="Y39" s="16"/>
    </row>
    <row r="40" spans="1:71" x14ac:dyDescent="0.3">
      <c r="A40" t="s">
        <v>78</v>
      </c>
      <c r="B40" t="s">
        <v>98</v>
      </c>
      <c r="C40">
        <v>3</v>
      </c>
      <c r="D40">
        <v>4</v>
      </c>
      <c r="E40">
        <v>6</v>
      </c>
      <c r="F40">
        <v>8</v>
      </c>
      <c r="G40" s="51">
        <f t="shared" si="15"/>
        <v>0</v>
      </c>
      <c r="H40" s="46">
        <f t="shared" si="16"/>
        <v>0</v>
      </c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</row>
    <row r="41" spans="1:71" x14ac:dyDescent="0.3">
      <c r="A41" t="s">
        <v>78</v>
      </c>
      <c r="B41" t="s">
        <v>92</v>
      </c>
      <c r="C41">
        <v>4</v>
      </c>
      <c r="D41">
        <v>5</v>
      </c>
      <c r="E41">
        <v>8</v>
      </c>
      <c r="F41">
        <v>10</v>
      </c>
      <c r="G41" s="51">
        <f t="shared" si="15"/>
        <v>0</v>
      </c>
      <c r="H41" s="46">
        <f t="shared" si="16"/>
        <v>0</v>
      </c>
    </row>
    <row r="42" spans="1:71" s="17" customFormat="1" x14ac:dyDescent="0.3">
      <c r="A42" t="s">
        <v>6</v>
      </c>
      <c r="B42" t="s">
        <v>141</v>
      </c>
      <c r="C42">
        <v>0</v>
      </c>
      <c r="D42">
        <v>0.2</v>
      </c>
      <c r="E42">
        <v>0</v>
      </c>
      <c r="F42">
        <v>2</v>
      </c>
      <c r="G42" s="55">
        <f>$M$6</f>
        <v>0</v>
      </c>
      <c r="H42" s="46">
        <f>(F42-E42)/(D42-C42)*(G42-C42)+E42</f>
        <v>0</v>
      </c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</row>
    <row r="43" spans="1:71" x14ac:dyDescent="0.3">
      <c r="A43" t="s">
        <v>6</v>
      </c>
      <c r="B43" t="s">
        <v>96</v>
      </c>
      <c r="C43">
        <v>0.2</v>
      </c>
      <c r="D43">
        <v>0.3</v>
      </c>
      <c r="E43">
        <v>2</v>
      </c>
      <c r="F43">
        <v>4</v>
      </c>
      <c r="G43" s="55">
        <f t="shared" ref="G43:G46" si="17">$M$6</f>
        <v>0</v>
      </c>
      <c r="H43" s="46">
        <f t="shared" ref="H43:H46" si="18">(F43-E43)/(D43-C43)*(G43-C43)+E43</f>
        <v>-2.0000000000000009</v>
      </c>
    </row>
    <row r="44" spans="1:71" x14ac:dyDescent="0.3">
      <c r="A44" t="s">
        <v>6</v>
      </c>
      <c r="B44" t="s">
        <v>95</v>
      </c>
      <c r="C44">
        <v>0.3</v>
      </c>
      <c r="D44">
        <v>0.45</v>
      </c>
      <c r="E44">
        <v>4</v>
      </c>
      <c r="F44">
        <v>6</v>
      </c>
      <c r="G44" s="55">
        <f t="shared" si="17"/>
        <v>0</v>
      </c>
      <c r="H44" s="46">
        <f t="shared" si="18"/>
        <v>0</v>
      </c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</row>
    <row r="45" spans="1:71" x14ac:dyDescent="0.3">
      <c r="A45" t="s">
        <v>6</v>
      </c>
      <c r="B45" t="s">
        <v>98</v>
      </c>
      <c r="C45">
        <v>0.45</v>
      </c>
      <c r="D45">
        <v>0.6</v>
      </c>
      <c r="E45">
        <v>6</v>
      </c>
      <c r="F45">
        <v>8</v>
      </c>
      <c r="G45" s="55">
        <f t="shared" si="17"/>
        <v>0</v>
      </c>
      <c r="H45" s="46">
        <f t="shared" si="18"/>
        <v>0</v>
      </c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</row>
    <row r="46" spans="1:71" s="17" customFormat="1" x14ac:dyDescent="0.3">
      <c r="A46" t="s">
        <v>6</v>
      </c>
      <c r="B46" t="s">
        <v>92</v>
      </c>
      <c r="C46">
        <v>0.6</v>
      </c>
      <c r="D46">
        <v>1</v>
      </c>
      <c r="E46">
        <v>8</v>
      </c>
      <c r="F46">
        <v>10</v>
      </c>
      <c r="G46" s="55">
        <f t="shared" si="17"/>
        <v>0</v>
      </c>
      <c r="H46" s="46">
        <f t="shared" si="18"/>
        <v>5</v>
      </c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</row>
    <row r="47" spans="1:71" s="17" customFormat="1" x14ac:dyDescent="0.3">
      <c r="A47" t="s">
        <v>8</v>
      </c>
      <c r="B47" t="s">
        <v>141</v>
      </c>
      <c r="C47">
        <v>0</v>
      </c>
      <c r="D47">
        <v>0.4</v>
      </c>
      <c r="E47">
        <v>0</v>
      </c>
      <c r="F47">
        <v>2</v>
      </c>
      <c r="G47" s="57">
        <f>$O$6</f>
        <v>0</v>
      </c>
      <c r="H47" s="46">
        <f>(F47-E47)/(D47-C47)*(G47-C47)+E47</f>
        <v>0</v>
      </c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</row>
    <row r="48" spans="1:71" x14ac:dyDescent="0.3">
      <c r="A48" t="s">
        <v>8</v>
      </c>
      <c r="B48" t="s">
        <v>96</v>
      </c>
      <c r="C48">
        <v>0.4</v>
      </c>
      <c r="D48">
        <v>0.7</v>
      </c>
      <c r="E48">
        <v>2</v>
      </c>
      <c r="F48">
        <v>4</v>
      </c>
      <c r="G48" s="57">
        <f t="shared" ref="G48:G56" si="19">$O$6</f>
        <v>0</v>
      </c>
      <c r="H48" s="46">
        <f t="shared" ref="H48:H51" si="20">(F48-E48)/(D48-C48)*(G48-C48)+E48</f>
        <v>-0.66666666666666741</v>
      </c>
    </row>
    <row r="49" spans="1:8" x14ac:dyDescent="0.3">
      <c r="A49" t="s">
        <v>8</v>
      </c>
      <c r="B49" t="s">
        <v>95</v>
      </c>
      <c r="C49">
        <v>0.7</v>
      </c>
      <c r="D49">
        <v>1</v>
      </c>
      <c r="E49">
        <v>4</v>
      </c>
      <c r="F49">
        <v>6</v>
      </c>
      <c r="G49" s="57">
        <f t="shared" si="19"/>
        <v>0</v>
      </c>
      <c r="H49" s="46">
        <f t="shared" si="20"/>
        <v>-0.66666666666666607</v>
      </c>
    </row>
    <row r="50" spans="1:8" x14ac:dyDescent="0.3">
      <c r="A50" t="s">
        <v>8</v>
      </c>
      <c r="B50" t="s">
        <v>98</v>
      </c>
      <c r="C50">
        <v>1</v>
      </c>
      <c r="D50">
        <v>1.5</v>
      </c>
      <c r="E50">
        <v>6</v>
      </c>
      <c r="F50">
        <v>8</v>
      </c>
      <c r="G50" s="57">
        <f t="shared" si="19"/>
        <v>0</v>
      </c>
      <c r="H50" s="46">
        <f t="shared" si="20"/>
        <v>2</v>
      </c>
    </row>
    <row r="51" spans="1:8" x14ac:dyDescent="0.3">
      <c r="A51" t="s">
        <v>8</v>
      </c>
      <c r="B51" t="s">
        <v>92</v>
      </c>
      <c r="C51">
        <v>1.5</v>
      </c>
      <c r="D51">
        <f>1.5+(5-1.5)/2</f>
        <v>3.25</v>
      </c>
      <c r="E51">
        <v>8</v>
      </c>
      <c r="F51">
        <v>10</v>
      </c>
      <c r="G51" s="57">
        <f t="shared" si="19"/>
        <v>0</v>
      </c>
      <c r="H51" s="46">
        <f t="shared" si="20"/>
        <v>6.2857142857142856</v>
      </c>
    </row>
    <row r="52" spans="1:8" x14ac:dyDescent="0.3">
      <c r="A52" s="63" t="s">
        <v>8</v>
      </c>
      <c r="B52" s="63" t="s">
        <v>141</v>
      </c>
      <c r="C52" s="63">
        <v>10</v>
      </c>
      <c r="D52" s="48">
        <v>12</v>
      </c>
      <c r="E52" s="63">
        <v>0</v>
      </c>
      <c r="F52" s="63">
        <v>2</v>
      </c>
      <c r="G52" s="66">
        <f t="shared" si="19"/>
        <v>0</v>
      </c>
      <c r="H52" s="65">
        <f>IF(G52&lt;=D52,(F52-E52)/(D52-C52)*(D52-G52)+E52,0)</f>
        <v>12</v>
      </c>
    </row>
    <row r="53" spans="1:8" x14ac:dyDescent="0.3">
      <c r="A53" s="63" t="s">
        <v>8</v>
      </c>
      <c r="B53" s="63" t="s">
        <v>96</v>
      </c>
      <c r="C53" s="63">
        <v>8</v>
      </c>
      <c r="D53" s="63">
        <v>10</v>
      </c>
      <c r="E53" s="63">
        <v>2</v>
      </c>
      <c r="F53" s="63">
        <v>4</v>
      </c>
      <c r="G53" s="66">
        <f t="shared" si="19"/>
        <v>0</v>
      </c>
      <c r="H53" s="65">
        <f t="shared" ref="H53:H56" si="21">(F53-E53)/(D53-C53)*(D53-G53)+E53</f>
        <v>12</v>
      </c>
    </row>
    <row r="54" spans="1:8" x14ac:dyDescent="0.3">
      <c r="A54" s="63" t="s">
        <v>8</v>
      </c>
      <c r="B54" s="63" t="s">
        <v>95</v>
      </c>
      <c r="C54" s="63">
        <v>6</v>
      </c>
      <c r="D54" s="63">
        <v>8</v>
      </c>
      <c r="E54" s="63">
        <v>4</v>
      </c>
      <c r="F54" s="63">
        <v>6</v>
      </c>
      <c r="G54" s="66">
        <f t="shared" si="19"/>
        <v>0</v>
      </c>
      <c r="H54" s="65">
        <f t="shared" si="21"/>
        <v>12</v>
      </c>
    </row>
    <row r="55" spans="1:8" x14ac:dyDescent="0.3">
      <c r="A55" s="63" t="s">
        <v>8</v>
      </c>
      <c r="B55" s="63" t="s">
        <v>98</v>
      </c>
      <c r="C55" s="63">
        <v>5</v>
      </c>
      <c r="D55" s="63">
        <v>6</v>
      </c>
      <c r="E55" s="63">
        <v>6</v>
      </c>
      <c r="F55" s="63">
        <v>8</v>
      </c>
      <c r="G55" s="66">
        <f t="shared" si="19"/>
        <v>0</v>
      </c>
      <c r="H55" s="65">
        <f t="shared" si="21"/>
        <v>18</v>
      </c>
    </row>
    <row r="56" spans="1:8" x14ac:dyDescent="0.3">
      <c r="A56" s="63" t="s">
        <v>8</v>
      </c>
      <c r="B56" s="63" t="s">
        <v>92</v>
      </c>
      <c r="C56" s="63">
        <v>3.25</v>
      </c>
      <c r="D56" s="63">
        <v>5</v>
      </c>
      <c r="E56" s="63">
        <v>8</v>
      </c>
      <c r="F56" s="63">
        <v>10</v>
      </c>
      <c r="G56" s="66">
        <f t="shared" si="19"/>
        <v>0</v>
      </c>
      <c r="H56" s="65">
        <f t="shared" si="21"/>
        <v>13.714285714285714</v>
      </c>
    </row>
    <row r="57" spans="1:8" x14ac:dyDescent="0.3">
      <c r="A57" s="63" t="s">
        <v>9</v>
      </c>
      <c r="B57" s="63" t="s">
        <v>141</v>
      </c>
      <c r="C57" s="63">
        <v>0.45</v>
      </c>
      <c r="D57" s="63">
        <v>1</v>
      </c>
      <c r="E57" s="63">
        <v>0</v>
      </c>
      <c r="F57" s="63">
        <v>2</v>
      </c>
      <c r="G57" s="67">
        <f>$O$11</f>
        <v>1</v>
      </c>
      <c r="H57" s="65">
        <f>(F57-E57)/(D57-C57)*(D57-G57)+E57</f>
        <v>0</v>
      </c>
    </row>
    <row r="58" spans="1:8" x14ac:dyDescent="0.3">
      <c r="A58" s="63" t="s">
        <v>9</v>
      </c>
      <c r="B58" s="63" t="s">
        <v>96</v>
      </c>
      <c r="C58" s="63">
        <v>0.35</v>
      </c>
      <c r="D58" s="63">
        <v>0.45</v>
      </c>
      <c r="E58" s="63">
        <v>2</v>
      </c>
      <c r="F58" s="63">
        <v>4</v>
      </c>
      <c r="G58" s="67">
        <f>$O$11</f>
        <v>1</v>
      </c>
      <c r="H58" s="65">
        <f t="shared" ref="H58:H61" si="22">(F58-E58)/(D58-C58)*(D58-G58)+E58</f>
        <v>-8.9999999999999964</v>
      </c>
    </row>
    <row r="59" spans="1:8" x14ac:dyDescent="0.3">
      <c r="A59" s="63" t="s">
        <v>9</v>
      </c>
      <c r="B59" s="63" t="s">
        <v>95</v>
      </c>
      <c r="C59" s="63">
        <v>0.25</v>
      </c>
      <c r="D59" s="63">
        <v>0.35</v>
      </c>
      <c r="E59" s="63">
        <v>4</v>
      </c>
      <c r="F59" s="63">
        <v>6</v>
      </c>
      <c r="G59" s="67">
        <f>$O$11</f>
        <v>1</v>
      </c>
      <c r="H59" s="65">
        <f t="shared" si="22"/>
        <v>-9.0000000000000036</v>
      </c>
    </row>
    <row r="60" spans="1:8" x14ac:dyDescent="0.3">
      <c r="A60" s="63" t="s">
        <v>9</v>
      </c>
      <c r="B60" s="63" t="s">
        <v>98</v>
      </c>
      <c r="C60" s="63">
        <v>0.15</v>
      </c>
      <c r="D60" s="63">
        <v>0.25</v>
      </c>
      <c r="E60" s="63">
        <v>6</v>
      </c>
      <c r="F60" s="63">
        <v>8</v>
      </c>
      <c r="G60" s="67">
        <f>$O$11</f>
        <v>1</v>
      </c>
      <c r="H60" s="65">
        <f t="shared" si="22"/>
        <v>-9</v>
      </c>
    </row>
    <row r="61" spans="1:8" x14ac:dyDescent="0.3">
      <c r="A61" s="63" t="s">
        <v>9</v>
      </c>
      <c r="B61" s="63" t="s">
        <v>92</v>
      </c>
      <c r="C61" s="63">
        <v>0</v>
      </c>
      <c r="D61" s="63">
        <v>0.15</v>
      </c>
      <c r="E61" s="63">
        <v>8</v>
      </c>
      <c r="F61" s="63">
        <v>10</v>
      </c>
      <c r="G61" s="67">
        <f>$O$11</f>
        <v>1</v>
      </c>
      <c r="H61" s="65">
        <f t="shared" si="22"/>
        <v>-3.3333333333333339</v>
      </c>
    </row>
    <row r="62" spans="1:8" x14ac:dyDescent="0.3">
      <c r="A62" s="47" t="s">
        <v>143</v>
      </c>
      <c r="B62" t="s">
        <v>141</v>
      </c>
      <c r="C62">
        <v>0</v>
      </c>
      <c r="D62">
        <v>0.2</v>
      </c>
      <c r="E62">
        <v>0</v>
      </c>
      <c r="F62">
        <v>2</v>
      </c>
      <c r="G62" s="57">
        <f>$P$12</f>
        <v>0</v>
      </c>
      <c r="H62" s="46">
        <f>(F62-E62)/(D62-C62)*(G62-C62)+E62</f>
        <v>0</v>
      </c>
    </row>
    <row r="63" spans="1:8" x14ac:dyDescent="0.3">
      <c r="A63" s="47" t="s">
        <v>143</v>
      </c>
      <c r="B63" t="s">
        <v>96</v>
      </c>
      <c r="C63">
        <v>0.2</v>
      </c>
      <c r="D63">
        <v>0.3</v>
      </c>
      <c r="E63">
        <v>2</v>
      </c>
      <c r="F63">
        <v>4</v>
      </c>
      <c r="G63" s="57">
        <f t="shared" ref="G63:G66" si="23">$P$12</f>
        <v>0</v>
      </c>
      <c r="H63" s="46">
        <f t="shared" ref="H63:H65" si="24">(F63-E63)/(D63-C63)*(G63-C63)+E63</f>
        <v>-2.0000000000000009</v>
      </c>
    </row>
    <row r="64" spans="1:8" x14ac:dyDescent="0.3">
      <c r="A64" s="47" t="s">
        <v>143</v>
      </c>
      <c r="B64" t="s">
        <v>95</v>
      </c>
      <c r="C64">
        <v>0.3</v>
      </c>
      <c r="D64">
        <v>0.4</v>
      </c>
      <c r="E64">
        <v>4</v>
      </c>
      <c r="F64">
        <v>6</v>
      </c>
      <c r="G64" s="57">
        <f t="shared" si="23"/>
        <v>0</v>
      </c>
      <c r="H64" s="46">
        <f t="shared" si="24"/>
        <v>-1.9999999999999973</v>
      </c>
    </row>
    <row r="65" spans="1:8" x14ac:dyDescent="0.3">
      <c r="A65" s="47" t="s">
        <v>143</v>
      </c>
      <c r="B65" t="s">
        <v>98</v>
      </c>
      <c r="C65">
        <v>0.4</v>
      </c>
      <c r="D65">
        <v>0.5</v>
      </c>
      <c r="E65">
        <v>6</v>
      </c>
      <c r="F65">
        <v>8</v>
      </c>
      <c r="G65" s="57">
        <f t="shared" si="23"/>
        <v>0</v>
      </c>
      <c r="H65" s="46">
        <f t="shared" si="24"/>
        <v>-2.0000000000000018</v>
      </c>
    </row>
    <row r="66" spans="1:8" x14ac:dyDescent="0.3">
      <c r="A66" s="47" t="s">
        <v>143</v>
      </c>
      <c r="B66" t="s">
        <v>92</v>
      </c>
      <c r="C66">
        <v>0.5</v>
      </c>
      <c r="D66" s="48">
        <v>0.6</v>
      </c>
      <c r="E66">
        <v>8</v>
      </c>
      <c r="F66">
        <v>10</v>
      </c>
      <c r="G66" s="57">
        <f t="shared" si="23"/>
        <v>0</v>
      </c>
      <c r="H66" s="46">
        <f>IF(G66&lt;=D66,(F66-E66)/(D66-C66)*(G66-C66)+E66,10)</f>
        <v>-2.0000000000000018</v>
      </c>
    </row>
    <row r="67" spans="1:8" x14ac:dyDescent="0.3">
      <c r="A67" s="63" t="s">
        <v>144</v>
      </c>
      <c r="B67" s="63" t="s">
        <v>141</v>
      </c>
      <c r="C67" s="63">
        <v>36</v>
      </c>
      <c r="D67" s="48">
        <v>38</v>
      </c>
      <c r="E67" s="63">
        <v>0</v>
      </c>
      <c r="F67" s="63">
        <v>2</v>
      </c>
      <c r="G67" s="63" t="e">
        <f>$AH$6</f>
        <v>#NUM!</v>
      </c>
      <c r="H67" s="65" t="e">
        <f>IF(G67&lt;=D67,(F67-E67)/(D67-C67)*(D67-G67)+E67,0)</f>
        <v>#NUM!</v>
      </c>
    </row>
    <row r="68" spans="1:8" x14ac:dyDescent="0.3">
      <c r="A68" s="63" t="s">
        <v>144</v>
      </c>
      <c r="B68" s="63" t="s">
        <v>96</v>
      </c>
      <c r="C68" s="63">
        <v>34</v>
      </c>
      <c r="D68" s="63">
        <v>36</v>
      </c>
      <c r="E68" s="63">
        <v>2</v>
      </c>
      <c r="F68" s="63">
        <v>4</v>
      </c>
      <c r="G68" s="63" t="e">
        <f t="shared" ref="G68:G71" si="25">$AH$6</f>
        <v>#NUM!</v>
      </c>
      <c r="H68" s="65" t="e">
        <f t="shared" ref="H68:H71" si="26">(F68-E68)/(D68-C68)*(D68-G68)+E68</f>
        <v>#NUM!</v>
      </c>
    </row>
    <row r="69" spans="1:8" x14ac:dyDescent="0.3">
      <c r="A69" s="63" t="s">
        <v>144</v>
      </c>
      <c r="B69" s="63" t="s">
        <v>95</v>
      </c>
      <c r="C69" s="63">
        <v>32</v>
      </c>
      <c r="D69" s="63">
        <v>34</v>
      </c>
      <c r="E69" s="63">
        <v>4</v>
      </c>
      <c r="F69" s="63">
        <v>6</v>
      </c>
      <c r="G69" s="63" t="e">
        <f t="shared" si="25"/>
        <v>#NUM!</v>
      </c>
      <c r="H69" s="65" t="e">
        <f t="shared" si="26"/>
        <v>#NUM!</v>
      </c>
    </row>
    <row r="70" spans="1:8" x14ac:dyDescent="0.3">
      <c r="A70" s="63" t="s">
        <v>144</v>
      </c>
      <c r="B70" s="63" t="s">
        <v>98</v>
      </c>
      <c r="C70" s="63">
        <v>30</v>
      </c>
      <c r="D70" s="63">
        <v>32</v>
      </c>
      <c r="E70" s="63">
        <v>6</v>
      </c>
      <c r="F70" s="63">
        <v>8</v>
      </c>
      <c r="G70" s="63" t="e">
        <f t="shared" si="25"/>
        <v>#NUM!</v>
      </c>
      <c r="H70" s="65" t="e">
        <f t="shared" si="26"/>
        <v>#NUM!</v>
      </c>
    </row>
    <row r="71" spans="1:8" x14ac:dyDescent="0.3">
      <c r="A71" s="63" t="s">
        <v>144</v>
      </c>
      <c r="B71" s="63" t="s">
        <v>92</v>
      </c>
      <c r="C71" s="63">
        <v>0</v>
      </c>
      <c r="D71" s="63">
        <v>30</v>
      </c>
      <c r="E71" s="63">
        <v>8</v>
      </c>
      <c r="F71" s="63">
        <v>10</v>
      </c>
      <c r="G71" s="63" t="e">
        <f t="shared" si="25"/>
        <v>#NUM!</v>
      </c>
      <c r="H71" s="65" t="e">
        <f t="shared" si="26"/>
        <v>#NUM!</v>
      </c>
    </row>
    <row r="72" spans="1:8" x14ac:dyDescent="0.3">
      <c r="A72" s="47" t="s">
        <v>36</v>
      </c>
      <c r="B72" t="s">
        <v>141</v>
      </c>
      <c r="C72">
        <v>0</v>
      </c>
      <c r="D72">
        <v>0.3</v>
      </c>
      <c r="E72">
        <v>0</v>
      </c>
      <c r="F72">
        <v>2</v>
      </c>
      <c r="G72" s="57">
        <f>AI$8</f>
        <v>0</v>
      </c>
      <c r="H72" s="46">
        <f>(F72-E72)/(D72-C72)*(G72-C72)+E72</f>
        <v>0</v>
      </c>
    </row>
    <row r="73" spans="1:8" x14ac:dyDescent="0.3">
      <c r="A73" s="47" t="s">
        <v>36</v>
      </c>
      <c r="B73" t="s">
        <v>96</v>
      </c>
      <c r="C73">
        <v>0.3</v>
      </c>
      <c r="D73">
        <v>0.45</v>
      </c>
      <c r="E73">
        <v>2</v>
      </c>
      <c r="F73">
        <v>4</v>
      </c>
      <c r="G73" s="57">
        <f t="shared" ref="G73:G76" si="27">AI$8</f>
        <v>0</v>
      </c>
      <c r="H73" s="46">
        <f t="shared" ref="H73:H75" si="28">(F73-E73)/(D73-C73)*(G73-C73)+E73</f>
        <v>-1.9999999999999996</v>
      </c>
    </row>
    <row r="74" spans="1:8" x14ac:dyDescent="0.3">
      <c r="A74" s="47" t="s">
        <v>36</v>
      </c>
      <c r="B74" t="s">
        <v>95</v>
      </c>
      <c r="C74">
        <v>0.45</v>
      </c>
      <c r="D74">
        <v>0.65</v>
      </c>
      <c r="E74">
        <v>4</v>
      </c>
      <c r="F74">
        <v>6</v>
      </c>
      <c r="G74" s="57">
        <f t="shared" si="27"/>
        <v>0</v>
      </c>
      <c r="H74" s="46">
        <f t="shared" si="28"/>
        <v>-0.5</v>
      </c>
    </row>
    <row r="75" spans="1:8" x14ac:dyDescent="0.3">
      <c r="A75" s="47" t="s">
        <v>36</v>
      </c>
      <c r="B75" t="s">
        <v>98</v>
      </c>
      <c r="C75">
        <v>0.65</v>
      </c>
      <c r="D75">
        <v>0.95</v>
      </c>
      <c r="E75">
        <v>6</v>
      </c>
      <c r="F75">
        <v>8</v>
      </c>
      <c r="G75" s="57">
        <f t="shared" si="27"/>
        <v>0</v>
      </c>
      <c r="H75" s="46">
        <f t="shared" si="28"/>
        <v>1.6666666666666661</v>
      </c>
    </row>
    <row r="76" spans="1:8" x14ac:dyDescent="0.3">
      <c r="A76" s="47" t="s">
        <v>36</v>
      </c>
      <c r="B76" t="s">
        <v>92</v>
      </c>
      <c r="C76">
        <v>0.95</v>
      </c>
      <c r="D76" s="48">
        <v>1.25</v>
      </c>
      <c r="E76">
        <v>8</v>
      </c>
      <c r="F76">
        <v>10</v>
      </c>
      <c r="G76" s="57">
        <f t="shared" si="27"/>
        <v>0</v>
      </c>
      <c r="H76" s="46">
        <f>IF(G76&lt;=D76,(F76-E76)/(D76-C76)*(G76-C76)+E76,10)</f>
        <v>1.6666666666666679</v>
      </c>
    </row>
    <row r="77" spans="1:8" x14ac:dyDescent="0.3">
      <c r="A77" s="47" t="s">
        <v>41</v>
      </c>
      <c r="B77" t="s">
        <v>141</v>
      </c>
      <c r="C77">
        <v>0</v>
      </c>
      <c r="D77">
        <v>0.35</v>
      </c>
      <c r="E77">
        <v>0</v>
      </c>
      <c r="F77">
        <v>2</v>
      </c>
      <c r="G77" s="55">
        <f>$AQ$6</f>
        <v>0</v>
      </c>
      <c r="H77" s="46">
        <f>(F77-E77)/(D77-C77)*(G77-C77)+E77</f>
        <v>0</v>
      </c>
    </row>
    <row r="78" spans="1:8" x14ac:dyDescent="0.3">
      <c r="A78" s="47" t="s">
        <v>41</v>
      </c>
      <c r="B78" t="s">
        <v>96</v>
      </c>
      <c r="C78">
        <v>0.35</v>
      </c>
      <c r="D78">
        <v>0.55000000000000004</v>
      </c>
      <c r="E78">
        <v>2</v>
      </c>
      <c r="F78">
        <v>4</v>
      </c>
      <c r="G78" s="55">
        <f t="shared" ref="G78:G81" si="29">$AQ$6</f>
        <v>0</v>
      </c>
      <c r="H78" s="46">
        <f t="shared" ref="H78:H81" si="30">(F78-E78)/(D78-C78)*(G78-C78)+E78</f>
        <v>-1.4999999999999987</v>
      </c>
    </row>
    <row r="79" spans="1:8" x14ac:dyDescent="0.3">
      <c r="A79" s="47" t="s">
        <v>41</v>
      </c>
      <c r="B79" t="s">
        <v>95</v>
      </c>
      <c r="C79">
        <v>0.55000000000000004</v>
      </c>
      <c r="D79">
        <v>0.7</v>
      </c>
      <c r="E79">
        <v>4</v>
      </c>
      <c r="F79">
        <v>6</v>
      </c>
      <c r="G79" s="55">
        <f t="shared" si="29"/>
        <v>0</v>
      </c>
      <c r="H79" s="46">
        <f t="shared" si="30"/>
        <v>-3.3333333333333384</v>
      </c>
    </row>
    <row r="80" spans="1:8" x14ac:dyDescent="0.3">
      <c r="A80" s="47" t="s">
        <v>41</v>
      </c>
      <c r="B80" t="s">
        <v>98</v>
      </c>
      <c r="C80">
        <v>0.7</v>
      </c>
      <c r="D80">
        <v>0.85</v>
      </c>
      <c r="E80">
        <v>6</v>
      </c>
      <c r="F80">
        <v>8</v>
      </c>
      <c r="G80" s="55">
        <f t="shared" si="29"/>
        <v>0</v>
      </c>
      <c r="H80" s="46">
        <f t="shared" si="30"/>
        <v>-3.3333333333333321</v>
      </c>
    </row>
    <row r="81" spans="1:8" x14ac:dyDescent="0.3">
      <c r="A81" s="47" t="s">
        <v>41</v>
      </c>
      <c r="B81" t="s">
        <v>92</v>
      </c>
      <c r="C81">
        <v>0.85</v>
      </c>
      <c r="D81" s="47">
        <v>1</v>
      </c>
      <c r="E81">
        <v>8</v>
      </c>
      <c r="F81">
        <v>10</v>
      </c>
      <c r="G81" s="55">
        <f t="shared" si="29"/>
        <v>0</v>
      </c>
      <c r="H81" s="46">
        <f t="shared" si="30"/>
        <v>-3.3333333333333321</v>
      </c>
    </row>
    <row r="82" spans="1:8" x14ac:dyDescent="0.3">
      <c r="A82" s="47" t="s">
        <v>145</v>
      </c>
      <c r="B82" t="s">
        <v>141</v>
      </c>
      <c r="C82">
        <v>0</v>
      </c>
      <c r="D82">
        <v>0.1</v>
      </c>
      <c r="E82">
        <v>0</v>
      </c>
      <c r="F82">
        <v>2</v>
      </c>
      <c r="G82" s="57">
        <f>$AR$14</f>
        <v>0</v>
      </c>
      <c r="H82" s="46">
        <f>(F82-E82)/(D82-C82)*(G82-C82)+E82</f>
        <v>0</v>
      </c>
    </row>
    <row r="83" spans="1:8" x14ac:dyDescent="0.3">
      <c r="A83" s="47" t="s">
        <v>145</v>
      </c>
      <c r="B83" t="s">
        <v>96</v>
      </c>
      <c r="C83">
        <v>0.1</v>
      </c>
      <c r="D83">
        <v>0.15</v>
      </c>
      <c r="E83">
        <v>2</v>
      </c>
      <c r="F83">
        <v>4</v>
      </c>
      <c r="G83" s="57">
        <f t="shared" ref="G83:G86" si="31">$AR$14</f>
        <v>0</v>
      </c>
      <c r="H83" s="46">
        <f t="shared" ref="H83:H85" si="32">(F83-E83)/(D83-C83)*(G83-C83)+E83</f>
        <v>-2.0000000000000009</v>
      </c>
    </row>
    <row r="84" spans="1:8" x14ac:dyDescent="0.3">
      <c r="A84" s="47" t="s">
        <v>145</v>
      </c>
      <c r="B84" t="s">
        <v>95</v>
      </c>
      <c r="C84">
        <v>0.15</v>
      </c>
      <c r="D84">
        <v>0.2</v>
      </c>
      <c r="E84">
        <v>4</v>
      </c>
      <c r="F84">
        <v>6</v>
      </c>
      <c r="G84" s="57">
        <f t="shared" si="31"/>
        <v>0</v>
      </c>
      <c r="H84" s="46">
        <f t="shared" si="32"/>
        <v>-1.9999999999999973</v>
      </c>
    </row>
    <row r="85" spans="1:8" x14ac:dyDescent="0.3">
      <c r="A85" s="47" t="s">
        <v>145</v>
      </c>
      <c r="B85" t="s">
        <v>98</v>
      </c>
      <c r="C85">
        <v>0.2</v>
      </c>
      <c r="D85">
        <v>0.25</v>
      </c>
      <c r="E85">
        <v>6</v>
      </c>
      <c r="F85">
        <v>8</v>
      </c>
      <c r="G85" s="57">
        <f t="shared" si="31"/>
        <v>0</v>
      </c>
      <c r="H85" s="46">
        <f t="shared" si="32"/>
        <v>-2.0000000000000018</v>
      </c>
    </row>
    <row r="86" spans="1:8" x14ac:dyDescent="0.3">
      <c r="A86" s="47" t="s">
        <v>145</v>
      </c>
      <c r="B86" t="s">
        <v>92</v>
      </c>
      <c r="C86">
        <v>0.25</v>
      </c>
      <c r="D86" s="48">
        <v>0.3</v>
      </c>
      <c r="E86">
        <v>8</v>
      </c>
      <c r="F86">
        <v>10</v>
      </c>
      <c r="G86" s="57">
        <f t="shared" si="31"/>
        <v>0</v>
      </c>
      <c r="H86" s="46">
        <f>IF(G86&lt;=D86,(F86-E86)/(D86-C86)*(G86-C86)+E86,10)</f>
        <v>-2.0000000000000018</v>
      </c>
    </row>
  </sheetData>
  <sheetProtection algorithmName="SHA-512" hashValue="L61uTARldOrRb9W7NHRfZuUH/OxQLDqdSbh5BxLZ22vkwH1dATHTNwmQTLhKDRx5IAgvO3Oo1pRZiSRv2lYE5Q==" saltValue="1o7wRJ29C3BHs7IXmhWFZQ==" spinCount="100000" sheet="1" objects="1" scenarios="1"/>
  <protectedRanges>
    <protectedRange sqref="A3:L3 N3:O3 Q3:AH3 AJ3:AP3 AS3:BE3" name="Preencher"/>
  </protectedRanges>
  <conditionalFormatting sqref="B22">
    <cfRule type="containsText" dxfId="88" priority="86" operator="containsText" text="MB">
      <formula>NOT(ISERROR(SEARCH("MB",B22)))</formula>
    </cfRule>
    <cfRule type="containsText" dxfId="87" priority="87" operator="containsText" text="B">
      <formula>NOT(ISERROR(SEARCH("B",B22)))</formula>
    </cfRule>
    <cfRule type="containsText" dxfId="86" priority="88" operator="containsText" text="R">
      <formula>NOT(ISERROR(SEARCH("R",B22)))</formula>
    </cfRule>
    <cfRule type="containsText" dxfId="85" priority="89" operator="containsText" text="F">
      <formula>NOT(ISERROR(SEARCH("F",B22)))</formula>
    </cfRule>
    <cfRule type="containsText" dxfId="84" priority="90" operator="containsText" text="I">
      <formula>NOT(ISERROR(SEARCH("I",B22)))</formula>
    </cfRule>
  </conditionalFormatting>
  <conditionalFormatting sqref="C7">
    <cfRule type="containsText" dxfId="83" priority="81" operator="containsText" text="MB">
      <formula>NOT(ISERROR(SEARCH("MB",C7)))</formula>
    </cfRule>
    <cfRule type="containsText" dxfId="82" priority="82" operator="containsText" text="B">
      <formula>NOT(ISERROR(SEARCH("B",C7)))</formula>
    </cfRule>
    <cfRule type="containsText" dxfId="81" priority="83" operator="containsText" text="R">
      <formula>NOT(ISERROR(SEARCH("R",C7)))</formula>
    </cfRule>
    <cfRule type="containsText" dxfId="80" priority="84" operator="containsText" text="F">
      <formula>NOT(ISERROR(SEARCH("F",C7)))</formula>
    </cfRule>
    <cfRule type="containsText" dxfId="79" priority="85" operator="containsText" text="I">
      <formula>NOT(ISERROR(SEARCH("I",C7)))</formula>
    </cfRule>
  </conditionalFormatting>
  <conditionalFormatting sqref="AI9">
    <cfRule type="containsText" dxfId="78" priority="76" operator="containsText" text="MB">
      <formula>NOT(ISERROR(SEARCH("MB",AI9)))</formula>
    </cfRule>
    <cfRule type="containsText" dxfId="77" priority="77" operator="containsText" text="B">
      <formula>NOT(ISERROR(SEARCH("B",AI9)))</formula>
    </cfRule>
    <cfRule type="containsText" dxfId="76" priority="78" operator="containsText" text="R">
      <formula>NOT(ISERROR(SEARCH("R",AI9)))</formula>
    </cfRule>
    <cfRule type="containsText" dxfId="75" priority="79" operator="containsText" text="F">
      <formula>NOT(ISERROR(SEARCH("F",AI9)))</formula>
    </cfRule>
    <cfRule type="containsText" dxfId="74" priority="80" operator="containsText" text="I">
      <formula>NOT(ISERROR(SEARCH("I",AI9)))</formula>
    </cfRule>
  </conditionalFormatting>
  <conditionalFormatting sqref="AQ7">
    <cfRule type="containsText" dxfId="73" priority="71" operator="containsText" text="MB">
      <formula>NOT(ISERROR(SEARCH("MB",AQ7)))</formula>
    </cfRule>
    <cfRule type="containsText" dxfId="72" priority="72" operator="containsText" text="B">
      <formula>NOT(ISERROR(SEARCH("B",AQ7)))</formula>
    </cfRule>
    <cfRule type="containsText" dxfId="71" priority="73" operator="containsText" text="R">
      <formula>NOT(ISERROR(SEARCH("R",AQ7)))</formula>
    </cfRule>
    <cfRule type="containsText" dxfId="70" priority="74" operator="containsText" text="F">
      <formula>NOT(ISERROR(SEARCH("F",AQ7)))</formula>
    </cfRule>
    <cfRule type="containsText" dxfId="69" priority="75" operator="containsText" text="I">
      <formula>NOT(ISERROR(SEARCH("I",AQ7)))</formula>
    </cfRule>
  </conditionalFormatting>
  <conditionalFormatting sqref="AR15">
    <cfRule type="containsText" dxfId="68" priority="66" operator="containsText" text="MB">
      <formula>NOT(ISERROR(SEARCH("MB",AR15)))</formula>
    </cfRule>
    <cfRule type="containsText" dxfId="67" priority="67" operator="containsText" text="B">
      <formula>NOT(ISERROR(SEARCH("B",AR15)))</formula>
    </cfRule>
    <cfRule type="containsText" dxfId="66" priority="68" operator="containsText" text="R">
      <formula>NOT(ISERROR(SEARCH("R",AR15)))</formula>
    </cfRule>
    <cfRule type="containsText" dxfId="65" priority="69" operator="containsText" text="F">
      <formula>NOT(ISERROR(SEARCH("F",AR15)))</formula>
    </cfRule>
    <cfRule type="containsText" dxfId="64" priority="70" operator="containsText" text="I">
      <formula>NOT(ISERROR(SEARCH("I",AR15)))</formula>
    </cfRule>
  </conditionalFormatting>
  <conditionalFormatting sqref="B12">
    <cfRule type="cellIs" dxfId="63" priority="64" operator="lessThan">
      <formula>0.69</formula>
    </cfRule>
    <cfRule type="cellIs" dxfId="62" priority="65" operator="greaterThan">
      <formula>0.7</formula>
    </cfRule>
  </conditionalFormatting>
  <conditionalFormatting sqref="D7">
    <cfRule type="containsText" dxfId="61" priority="59" operator="containsText" text="MB">
      <formula>NOT(ISERROR(SEARCH("MB",D7)))</formula>
    </cfRule>
    <cfRule type="containsText" dxfId="60" priority="60" operator="containsText" text="B">
      <formula>NOT(ISERROR(SEARCH("B",D7)))</formula>
    </cfRule>
    <cfRule type="containsText" dxfId="59" priority="61" operator="containsText" text="R">
      <formula>NOT(ISERROR(SEARCH("R",D7)))</formula>
    </cfRule>
    <cfRule type="containsText" dxfId="58" priority="62" operator="containsText" text="F">
      <formula>NOT(ISERROR(SEARCH("F",D7)))</formula>
    </cfRule>
    <cfRule type="containsText" dxfId="57" priority="63" operator="containsText" text="I">
      <formula>NOT(ISERROR(SEARCH("I",D7)))</formula>
    </cfRule>
  </conditionalFormatting>
  <conditionalFormatting sqref="E7">
    <cfRule type="containsText" dxfId="56" priority="54" operator="containsText" text="MB">
      <formula>NOT(ISERROR(SEARCH("MB",E7)))</formula>
    </cfRule>
    <cfRule type="containsText" dxfId="55" priority="55" operator="containsText" text="B">
      <formula>NOT(ISERROR(SEARCH("B",E7)))</formula>
    </cfRule>
    <cfRule type="containsText" dxfId="54" priority="56" operator="containsText" text="R">
      <formula>NOT(ISERROR(SEARCH("R",E7)))</formula>
    </cfRule>
    <cfRule type="containsText" dxfId="53" priority="57" operator="containsText" text="F">
      <formula>NOT(ISERROR(SEARCH("F",E7)))</formula>
    </cfRule>
    <cfRule type="containsText" dxfId="52" priority="58" operator="containsText" text="I">
      <formula>NOT(ISERROR(SEARCH("I",E7)))</formula>
    </cfRule>
  </conditionalFormatting>
  <conditionalFormatting sqref="G7:N7">
    <cfRule type="containsText" dxfId="51" priority="49" operator="containsText" text="MB">
      <formula>NOT(ISERROR(SEARCH("MB",G7)))</formula>
    </cfRule>
    <cfRule type="containsText" dxfId="50" priority="50" operator="containsText" text="B">
      <formula>NOT(ISERROR(SEARCH("B",G7)))</formula>
    </cfRule>
    <cfRule type="containsText" dxfId="49" priority="51" operator="containsText" text="R">
      <formula>NOT(ISERROR(SEARCH("R",G7)))</formula>
    </cfRule>
    <cfRule type="containsText" dxfId="48" priority="52" operator="containsText" text="F">
      <formula>NOT(ISERROR(SEARCH("F",G7)))</formula>
    </cfRule>
    <cfRule type="containsText" dxfId="47" priority="53" operator="containsText" text="I">
      <formula>NOT(ISERROR(SEARCH("I",G7)))</formula>
    </cfRule>
  </conditionalFormatting>
  <conditionalFormatting sqref="O7">
    <cfRule type="containsText" dxfId="46" priority="44" operator="containsText" text="MB">
      <formula>NOT(ISERROR(SEARCH("MB",O7)))</formula>
    </cfRule>
    <cfRule type="containsText" dxfId="45" priority="45" operator="containsText" text="B">
      <formula>NOT(ISERROR(SEARCH("B",O7)))</formula>
    </cfRule>
    <cfRule type="containsText" dxfId="44" priority="46" operator="containsText" text="R">
      <formula>NOT(ISERROR(SEARCH("R",O7)))</formula>
    </cfRule>
    <cfRule type="containsText" dxfId="43" priority="47" operator="containsText" text="F">
      <formula>NOT(ISERROR(SEARCH("F",O7)))</formula>
    </cfRule>
    <cfRule type="containsText" dxfId="42" priority="48" operator="containsText" text="I">
      <formula>NOT(ISERROR(SEARCH("I",O7)))</formula>
    </cfRule>
  </conditionalFormatting>
  <conditionalFormatting sqref="O12">
    <cfRule type="containsText" dxfId="41" priority="39" operator="containsText" text="MB">
      <formula>NOT(ISERROR(SEARCH("MB",O12)))</formula>
    </cfRule>
    <cfRule type="containsText" dxfId="40" priority="40" operator="containsText" text="B">
      <formula>NOT(ISERROR(SEARCH("B",O12)))</formula>
    </cfRule>
    <cfRule type="containsText" dxfId="39" priority="41" operator="containsText" text="R">
      <formula>NOT(ISERROR(SEARCH("R",O12)))</formula>
    </cfRule>
    <cfRule type="containsText" dxfId="38" priority="42" operator="containsText" text="F">
      <formula>NOT(ISERROR(SEARCH("F",O12)))</formula>
    </cfRule>
    <cfRule type="containsText" dxfId="37" priority="43" operator="containsText" text="I">
      <formula>NOT(ISERROR(SEARCH("I",O12)))</formula>
    </cfRule>
  </conditionalFormatting>
  <conditionalFormatting sqref="P13">
    <cfRule type="containsText" dxfId="36" priority="34" operator="containsText" text="MB">
      <formula>NOT(ISERROR(SEARCH("MB",P13)))</formula>
    </cfRule>
    <cfRule type="containsText" dxfId="35" priority="35" operator="containsText" text="B">
      <formula>NOT(ISERROR(SEARCH("B",P13)))</formula>
    </cfRule>
    <cfRule type="containsText" dxfId="34" priority="36" operator="containsText" text="R">
      <formula>NOT(ISERROR(SEARCH("R",P13)))</formula>
    </cfRule>
    <cfRule type="containsText" dxfId="33" priority="37" operator="containsText" text="F">
      <formula>NOT(ISERROR(SEARCH("F",P13)))</formula>
    </cfRule>
    <cfRule type="containsText" dxfId="32" priority="38" operator="containsText" text="I">
      <formula>NOT(ISERROR(SEARCH("I",P13)))</formula>
    </cfRule>
  </conditionalFormatting>
  <conditionalFormatting sqref="AH7">
    <cfRule type="containsText" dxfId="31" priority="29" operator="containsText" text="MB">
      <formula>NOT(ISERROR(SEARCH("MB",AH7)))</formula>
    </cfRule>
    <cfRule type="containsText" dxfId="30" priority="30" operator="containsText" text="B">
      <formula>NOT(ISERROR(SEARCH("B",AH7)))</formula>
    </cfRule>
    <cfRule type="containsText" dxfId="29" priority="31" operator="containsText" text="R">
      <formula>NOT(ISERROR(SEARCH("R",AH7)))</formula>
    </cfRule>
    <cfRule type="containsText" dxfId="28" priority="32" operator="containsText" text="F">
      <formula>NOT(ISERROR(SEARCH("F",AH7)))</formula>
    </cfRule>
    <cfRule type="containsText" dxfId="27" priority="33" operator="containsText" text="I">
      <formula>NOT(ISERROR(SEARCH("I",AH7)))</formula>
    </cfRule>
  </conditionalFormatting>
  <conditionalFormatting sqref="P3">
    <cfRule type="colorScale" priority="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I3">
    <cfRule type="colorScale" priority="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R3">
    <cfRule type="colorScale" priority="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">
    <cfRule type="iconSet" priority="94">
      <iconSet iconSet="3Symbols">
        <cfvo type="percent" val="0"/>
        <cfvo type="percent" val="33"/>
        <cfvo type="percent" val="67"/>
      </iconSet>
    </cfRule>
  </conditionalFormatting>
  <conditionalFormatting sqref="AQ3">
    <cfRule type="iconSet" priority="95">
      <iconSet iconSet="3Symbols">
        <cfvo type="percent" val="0"/>
        <cfvo type="percent" val="33"/>
        <cfvo type="percent" val="67"/>
      </iconSet>
    </cfRule>
  </conditionalFormatting>
  <conditionalFormatting sqref="F7">
    <cfRule type="containsText" dxfId="26" priority="24" operator="containsText" text="MB">
      <formula>NOT(ISERROR(SEARCH("MB",F7)))</formula>
    </cfRule>
    <cfRule type="containsText" dxfId="25" priority="25" operator="containsText" text="B">
      <formula>NOT(ISERROR(SEARCH("B",F7)))</formula>
    </cfRule>
    <cfRule type="containsText" dxfId="24" priority="26" operator="containsText" text="R">
      <formula>NOT(ISERROR(SEARCH("R",F7)))</formula>
    </cfRule>
    <cfRule type="containsText" dxfId="23" priority="27" operator="containsText" text="F">
      <formula>NOT(ISERROR(SEARCH("F",F7)))</formula>
    </cfRule>
    <cfRule type="containsText" dxfId="22" priority="28" operator="containsText" text="I">
      <formula>NOT(ISERROR(SEARCH("I",F7)))</formula>
    </cfRule>
  </conditionalFormatting>
  <conditionalFormatting sqref="BL3:BL30">
    <cfRule type="containsText" dxfId="21" priority="19" operator="containsText" text="MB">
      <formula>NOT(ISERROR(SEARCH("MB",BL3)))</formula>
    </cfRule>
    <cfRule type="containsText" dxfId="20" priority="20" operator="containsText" text="B">
      <formula>NOT(ISERROR(SEARCH("B",BL3)))</formula>
    </cfRule>
    <cfRule type="containsText" dxfId="19" priority="21" operator="containsText" text="R">
      <formula>NOT(ISERROR(SEARCH("R",BL3)))</formula>
    </cfRule>
    <cfRule type="containsText" dxfId="18" priority="22" operator="containsText" text="F">
      <formula>NOT(ISERROR(SEARCH("F",BL3)))</formula>
    </cfRule>
    <cfRule type="containsText" dxfId="17" priority="23" operator="containsText" text="I">
      <formula>NOT(ISERROR(SEARCH("I",BL3)))</formula>
    </cfRule>
  </conditionalFormatting>
  <conditionalFormatting sqref="BO2:BO32">
    <cfRule type="containsText" dxfId="16" priority="14" operator="containsText" text="MB">
      <formula>NOT(ISERROR(SEARCH("MB",BO2)))</formula>
    </cfRule>
    <cfRule type="containsText" dxfId="15" priority="15" operator="containsText" text="B">
      <formula>NOT(ISERROR(SEARCH("B",BO2)))</formula>
    </cfRule>
    <cfRule type="containsText" dxfId="14" priority="16" operator="containsText" text="R">
      <formula>NOT(ISERROR(SEARCH("R",BO2)))</formula>
    </cfRule>
    <cfRule type="containsText" dxfId="13" priority="17" operator="containsText" text="F">
      <formula>NOT(ISERROR(SEARCH("F",BO2)))</formula>
    </cfRule>
    <cfRule type="containsText" dxfId="12" priority="18" operator="containsText" text="I">
      <formula>NOT(ISERROR(SEARCH("I",BO2)))</formula>
    </cfRule>
  </conditionalFormatting>
  <conditionalFormatting sqref="BS1">
    <cfRule type="containsText" dxfId="11" priority="9" operator="containsText" text="MB">
      <formula>NOT(ISERROR(SEARCH("MB",BS1)))</formula>
    </cfRule>
    <cfRule type="containsText" dxfId="10" priority="10" operator="containsText" text="B">
      <formula>NOT(ISERROR(SEARCH("B",BS1)))</formula>
    </cfRule>
    <cfRule type="containsText" dxfId="9" priority="11" operator="containsText" text="R">
      <formula>NOT(ISERROR(SEARCH("R",BS1)))</formula>
    </cfRule>
    <cfRule type="containsText" dxfId="8" priority="12" operator="containsText" text="F">
      <formula>NOT(ISERROR(SEARCH("F",BS1)))</formula>
    </cfRule>
    <cfRule type="containsText" dxfId="7" priority="13" operator="containsText" text="I">
      <formula>NOT(ISERROR(SEARCH("I",BS1)))</formula>
    </cfRule>
  </conditionalFormatting>
  <conditionalFormatting sqref="BS2">
    <cfRule type="containsText" dxfId="6" priority="4" operator="containsText" text="MB">
      <formula>NOT(ISERROR(SEARCH("MB",BS2)))</formula>
    </cfRule>
    <cfRule type="containsText" dxfId="5" priority="5" operator="containsText" text="B">
      <formula>NOT(ISERROR(SEARCH("B",BS2)))</formula>
    </cfRule>
    <cfRule type="containsText" dxfId="4" priority="6" operator="containsText" text="R">
      <formula>NOT(ISERROR(SEARCH("R",BS2)))</formula>
    </cfRule>
    <cfRule type="containsText" dxfId="3" priority="7" operator="containsText" text="F">
      <formula>NOT(ISERROR(SEARCH("F",BS2)))</formula>
    </cfRule>
    <cfRule type="containsText" dxfId="2" priority="8" operator="containsText" text="I">
      <formula>NOT(ISERROR(SEARCH("I",BS2)))</formula>
    </cfRule>
  </conditionalFormatting>
  <conditionalFormatting sqref="BO36">
    <cfRule type="cellIs" dxfId="1" priority="2" operator="lessThan">
      <formula>0</formula>
    </cfRule>
    <cfRule type="cellIs" dxfId="0" priority="3" operator="greaterThan">
      <formula>0</formula>
    </cfRule>
  </conditionalFormatting>
  <conditionalFormatting sqref="BQ4:BQ1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511811024" right="0.511811024" top="0.78740157499999996" bottom="0.78740157499999996" header="0.31496062000000002" footer="0.31496062000000002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Legenda</vt:lpstr>
      <vt:lpstr>2018</vt:lpstr>
      <vt:lpstr>2019</vt:lpstr>
      <vt:lpstr>2020</vt:lpstr>
      <vt:lpstr>Consolidado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Rogerio Santana Peruchi</dc:creator>
  <cp:lastModifiedBy>Rogerio Santana Peruchi</cp:lastModifiedBy>
  <dcterms:created xsi:type="dcterms:W3CDTF">2017-08-09T15:59:23Z</dcterms:created>
  <dcterms:modified xsi:type="dcterms:W3CDTF">2020-08-26T17:08:54Z</dcterms:modified>
</cp:coreProperties>
</file>